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66925"/>
  <mc:AlternateContent xmlns:mc="http://schemas.openxmlformats.org/markup-compatibility/2006">
    <mc:Choice Requires="x15">
      <x15ac:absPath xmlns:x15ac="http://schemas.microsoft.com/office/spreadsheetml/2010/11/ac" url="I:\Projects\3001\3001.853.00 IA, State of - ISWMM Wetlands Chapter\Text\01 Planning\1.1 Master Planning Reports\ISWMM Wetland Chapter Files\Spreadsheets_Calcs\"/>
    </mc:Choice>
  </mc:AlternateContent>
  <xr:revisionPtr revIDLastSave="0" documentId="13_ncr:1_{29F303D3-67D3-4611-B22B-389407FF4277}" xr6:coauthVersionLast="31" xr6:coauthVersionMax="31" xr10:uidLastSave="{00000000-0000-0000-0000-000000000000}"/>
  <workbookProtection workbookAlgorithmName="SHA-512" workbookHashValue="ADUSxyM96BMiQL4SnlLzV/ifsFgZCfVeeO9RlF9o4Y2tza1Hus331x+3lEgatizO8xajpnff9lPOXAyNiBEWQQ==" workbookSaltValue="bnrFq2ldBlMYwkS6Tleu4Q==" workbookSpinCount="100000" lockStructure="1"/>
  <bookViews>
    <workbookView xWindow="0" yWindow="0" windowWidth="23040" windowHeight="11310" xr2:uid="{00000000-000D-0000-FFFF-FFFF00000000}"/>
  </bookViews>
  <sheets>
    <sheet name="DISCLAIMER" sheetId="11" r:id="rId1"/>
    <sheet name="CL_1 - Screening" sheetId="3" r:id="rId2"/>
    <sheet name="CL_2 - Design Summary" sheetId="10" r:id="rId3"/>
    <sheet name="DE_1 - Watershed Info" sheetId="4" r:id="rId4"/>
    <sheet name="Step 3 - Hydrology" sheetId="5" r:id="rId5"/>
    <sheet name="Step 4 - Pre-treat" sheetId="7" r:id="rId6"/>
    <sheet name="Step 5-7 Final Storage Volumes" sheetId="2" r:id="rId7"/>
    <sheet name="Step 9 - Results" sheetId="8" r:id="rId8"/>
  </sheets>
  <definedNames>
    <definedName name="_xlnm.Print_Area" localSheetId="1">'CL_1 - Screening'!$A$1:$J$67</definedName>
    <definedName name="_xlnm.Print_Area" localSheetId="2">'CL_2 - Design Summary'!$A$1:$I$63</definedName>
    <definedName name="_xlnm.Print_Area" localSheetId="3">'DE_1 - Watershed Info'!$A$1:$I$49</definedName>
    <definedName name="_xlnm.Print_Area" localSheetId="0">DISCLAIMER!$A$1:$J$58</definedName>
    <definedName name="_xlnm.Print_Area" localSheetId="4">'Step 3 - Hydrology'!$A$1:$H$42</definedName>
    <definedName name="_xlnm.Print_Area" localSheetId="5">'Step 4 - Pre-treat'!$A$1:$F$48</definedName>
    <definedName name="_xlnm.Print_Area" localSheetId="6">'Step 5-7 Final Storage Volumes'!$A$1:$I$64</definedName>
    <definedName name="_xlnm.Print_Area" localSheetId="7">'Step 9 - Results'!$A$1:$G$33</definedName>
  </definedNames>
  <calcPr calcId="17901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10" l="1"/>
  <c r="H11" i="10"/>
  <c r="D7" i="7" l="1"/>
  <c r="D46" i="7"/>
  <c r="D42" i="7"/>
  <c r="D43" i="7"/>
  <c r="D44" i="7"/>
  <c r="D45" i="7"/>
  <c r="D41" i="7"/>
  <c r="E41" i="7" s="1"/>
  <c r="D31" i="7"/>
  <c r="D32" i="7"/>
  <c r="D33" i="7"/>
  <c r="D30" i="7"/>
  <c r="E30" i="7" s="1"/>
  <c r="D20" i="7"/>
  <c r="D21" i="7"/>
  <c r="D22" i="7"/>
  <c r="D19" i="7"/>
  <c r="B42" i="7"/>
  <c r="B43" i="7"/>
  <c r="B44" i="7"/>
  <c r="B45" i="7"/>
  <c r="B31" i="7"/>
  <c r="B32" i="7"/>
  <c r="B33" i="7"/>
  <c r="D34" i="7" s="1"/>
  <c r="B34" i="7"/>
  <c r="B20" i="7"/>
  <c r="B21" i="7"/>
  <c r="B22" i="7"/>
  <c r="D23" i="7" s="1"/>
  <c r="B23" i="7"/>
  <c r="F45" i="4"/>
  <c r="B7" i="7" s="1"/>
  <c r="E31" i="7" l="1"/>
  <c r="E32" i="7" s="1"/>
  <c r="E33" i="7" s="1"/>
  <c r="E34" i="7" s="1"/>
  <c r="E42" i="7"/>
  <c r="E43" i="7" s="1"/>
  <c r="E44" i="7" s="1"/>
  <c r="E45" i="7" s="1"/>
  <c r="B41" i="7"/>
  <c r="B40" i="7"/>
  <c r="B30" i="7"/>
  <c r="B29" i="7"/>
  <c r="B19" i="7"/>
  <c r="B18" i="7"/>
  <c r="F26" i="8" l="1"/>
  <c r="F29" i="8"/>
  <c r="F28" i="8"/>
  <c r="F27" i="8"/>
  <c r="A33" i="5"/>
  <c r="B8" i="7"/>
  <c r="B38" i="5"/>
  <c r="B39" i="5"/>
  <c r="B40" i="5"/>
  <c r="B41" i="5"/>
  <c r="B42" i="5"/>
  <c r="B37" i="5"/>
  <c r="B36" i="5"/>
  <c r="F46" i="4"/>
  <c r="F30" i="4"/>
  <c r="I24" i="10"/>
  <c r="F25" i="10"/>
  <c r="E25" i="10"/>
  <c r="D25" i="10"/>
  <c r="I23" i="10"/>
  <c r="F23" i="10" s="1"/>
  <c r="F24" i="10" s="1"/>
  <c r="I12" i="10"/>
  <c r="I11" i="10"/>
  <c r="C11" i="10"/>
  <c r="H51" i="10"/>
  <c r="H50" i="10"/>
  <c r="H49" i="10"/>
  <c r="I47" i="10"/>
  <c r="E29" i="3"/>
  <c r="G31" i="3"/>
  <c r="A5" i="2"/>
  <c r="C29" i="3"/>
  <c r="A20" i="2"/>
  <c r="D46" i="2"/>
  <c r="D47" i="2"/>
  <c r="E47" i="2" s="1"/>
  <c r="D48" i="2"/>
  <c r="E48" i="2" s="1"/>
  <c r="D49" i="2"/>
  <c r="E49" i="2" s="1"/>
  <c r="D50" i="2"/>
  <c r="E50" i="2" s="1"/>
  <c r="A41" i="2"/>
  <c r="A42" i="2" s="1"/>
  <c r="A43" i="2" s="1"/>
  <c r="A44" i="2" s="1"/>
  <c r="A45" i="2" s="1"/>
  <c r="A46" i="2" s="1"/>
  <c r="A47" i="2" s="1"/>
  <c r="A48" i="2" s="1"/>
  <c r="A49" i="2" s="1"/>
  <c r="A50" i="2" s="1"/>
  <c r="D23" i="10" l="1"/>
  <c r="D24" i="10" s="1"/>
  <c r="E23" i="10"/>
  <c r="E24" i="10" s="1"/>
  <c r="E64" i="2"/>
  <c r="G64" i="2" s="1"/>
  <c r="E63" i="2"/>
  <c r="G63" i="2" s="1"/>
  <c r="A6" i="2"/>
  <c r="A7" i="2"/>
  <c r="C5" i="2"/>
  <c r="A18" i="2"/>
  <c r="A19" i="2" s="1"/>
  <c r="A21" i="2" s="1"/>
  <c r="A22" i="2" s="1"/>
  <c r="A23" i="2" s="1"/>
  <c r="A24" i="2" s="1"/>
  <c r="A25" i="2" s="1"/>
  <c r="A26" i="2" s="1"/>
  <c r="A27" i="2" s="1"/>
  <c r="A28" i="2" s="1"/>
  <c r="A29" i="2" s="1"/>
  <c r="A30" i="2" s="1"/>
  <c r="A31" i="2" s="1"/>
  <c r="A32" i="2" s="1"/>
  <c r="D21" i="2"/>
  <c r="D22" i="2"/>
  <c r="D23" i="2"/>
  <c r="D24" i="2"/>
  <c r="D25" i="2"/>
  <c r="D26" i="2"/>
  <c r="F26" i="2" s="1"/>
  <c r="E26" i="2"/>
  <c r="D27" i="2"/>
  <c r="E27" i="2"/>
  <c r="F27" i="2"/>
  <c r="D28" i="2"/>
  <c r="E28" i="2"/>
  <c r="F28" i="2"/>
  <c r="D29" i="2"/>
  <c r="F29" i="2" s="1"/>
  <c r="E29" i="2"/>
  <c r="D30" i="2"/>
  <c r="E30" i="2"/>
  <c r="F30" i="2"/>
  <c r="G30" i="2" s="1"/>
  <c r="D31" i="2"/>
  <c r="E31" i="2"/>
  <c r="F31" i="2"/>
  <c r="G31" i="2" s="1"/>
  <c r="D32" i="2"/>
  <c r="E32" i="2"/>
  <c r="F32" i="2"/>
  <c r="G32" i="2" s="1"/>
  <c r="B39" i="2"/>
  <c r="D20" i="2"/>
  <c r="D19" i="2"/>
  <c r="B14" i="2"/>
  <c r="B41" i="2" s="1"/>
  <c r="D15" i="2" l="1"/>
  <c r="E61" i="2" s="1"/>
  <c r="D16" i="2"/>
  <c r="D18" i="2"/>
  <c r="B42" i="2"/>
  <c r="D42" i="2" s="1"/>
  <c r="D17" i="2"/>
  <c r="B43" i="2"/>
  <c r="B44" i="2"/>
  <c r="B45" i="2"/>
  <c r="B46" i="2"/>
  <c r="B40" i="2"/>
  <c r="B31" i="2"/>
  <c r="B21" i="2"/>
  <c r="E22" i="2" s="1"/>
  <c r="F22" i="2" s="1"/>
  <c r="B24" i="2"/>
  <c r="B16" i="2"/>
  <c r="B26" i="2"/>
  <c r="B17" i="2"/>
  <c r="B27" i="2"/>
  <c r="B25" i="2"/>
  <c r="B18" i="2"/>
  <c r="B28" i="2"/>
  <c r="B19" i="2"/>
  <c r="B29" i="2"/>
  <c r="B20" i="2"/>
  <c r="B32" i="2"/>
  <c r="B22" i="2"/>
  <c r="B30" i="2"/>
  <c r="B15" i="2"/>
  <c r="B23" i="2"/>
  <c r="E24" i="2" s="1"/>
  <c r="F24" i="2" s="1"/>
  <c r="H18" i="10"/>
  <c r="G18" i="10"/>
  <c r="F18" i="10"/>
  <c r="E18" i="10"/>
  <c r="D18" i="10"/>
  <c r="C18" i="10"/>
  <c r="B18" i="10"/>
  <c r="C5" i="10"/>
  <c r="C3" i="10"/>
  <c r="B2" i="4"/>
  <c r="E25" i="2" l="1"/>
  <c r="F25" i="2" s="1"/>
  <c r="D45" i="2"/>
  <c r="E23" i="2"/>
  <c r="F23" i="2" s="1"/>
  <c r="E17" i="2"/>
  <c r="F17" i="2" s="1"/>
  <c r="E21" i="2"/>
  <c r="F21" i="2" s="1"/>
  <c r="E60" i="2"/>
  <c r="E62" i="2" s="1"/>
  <c r="G62" i="2" s="1"/>
  <c r="E16" i="2"/>
  <c r="F16" i="2" s="1"/>
  <c r="E15" i="2"/>
  <c r="F15" i="2" s="1"/>
  <c r="G15" i="2" s="1"/>
  <c r="D43" i="2"/>
  <c r="E20" i="2"/>
  <c r="F20" i="2" s="1"/>
  <c r="E18" i="2"/>
  <c r="F18" i="2" s="1"/>
  <c r="E19" i="2"/>
  <c r="F19" i="2" s="1"/>
  <c r="D44" i="2"/>
  <c r="D40" i="2"/>
  <c r="E40" i="2" s="1"/>
  <c r="D41" i="2"/>
  <c r="E41" i="2" s="1"/>
  <c r="E42" i="2" s="1"/>
  <c r="B47" i="2"/>
  <c r="B2" i="8"/>
  <c r="B2" i="2"/>
  <c r="B2" i="7"/>
  <c r="B2" i="5"/>
  <c r="G5" i="3"/>
  <c r="F30" i="8"/>
  <c r="F31" i="8"/>
  <c r="F32" i="8"/>
  <c r="D27" i="8"/>
  <c r="D28" i="8"/>
  <c r="D29" i="8"/>
  <c r="D30" i="8"/>
  <c r="D31" i="8"/>
  <c r="D32" i="8"/>
  <c r="D26" i="8"/>
  <c r="E19" i="7"/>
  <c r="F37" i="5"/>
  <c r="F38" i="5"/>
  <c r="F39" i="5"/>
  <c r="F40" i="5"/>
  <c r="F41" i="5"/>
  <c r="F42" i="5"/>
  <c r="F36" i="5"/>
  <c r="D39" i="5"/>
  <c r="E39" i="5" s="1"/>
  <c r="C37" i="5"/>
  <c r="C38" i="5"/>
  <c r="C39" i="5"/>
  <c r="C40" i="5"/>
  <c r="C41" i="5"/>
  <c r="C42" i="5"/>
  <c r="C36" i="5"/>
  <c r="B14" i="8"/>
  <c r="C17" i="10" s="1"/>
  <c r="C20" i="10" s="1"/>
  <c r="B15" i="8"/>
  <c r="D17" i="10" s="1"/>
  <c r="D20" i="10" s="1"/>
  <c r="B16" i="8"/>
  <c r="E17" i="10" s="1"/>
  <c r="E20" i="10" s="1"/>
  <c r="D40" i="5"/>
  <c r="E40" i="5" s="1"/>
  <c r="G40" i="5" s="1"/>
  <c r="D41" i="5"/>
  <c r="E41" i="5" s="1"/>
  <c r="G41" i="5" s="1"/>
  <c r="D42" i="5"/>
  <c r="E42" i="5" s="1"/>
  <c r="G42" i="5" s="1"/>
  <c r="E30" i="5"/>
  <c r="E27" i="5"/>
  <c r="E28" i="5" s="1"/>
  <c r="C44" i="4"/>
  <c r="C45" i="4" s="1"/>
  <c r="C28" i="4"/>
  <c r="C13" i="4"/>
  <c r="C14" i="4" s="1"/>
  <c r="E43" i="2" l="1"/>
  <c r="E44" i="2" s="1"/>
  <c r="G16" i="2"/>
  <c r="G17" i="2" s="1"/>
  <c r="E59" i="2" s="1"/>
  <c r="G59" i="2" s="1"/>
  <c r="B48" i="2"/>
  <c r="D38" i="5"/>
  <c r="E38" i="5" s="1"/>
  <c r="G38" i="5" s="1"/>
  <c r="E28" i="8" s="1"/>
  <c r="G28" i="8" s="1"/>
  <c r="D36" i="5"/>
  <c r="E36" i="5" s="1"/>
  <c r="G36" i="5" s="1"/>
  <c r="E26" i="8" s="1"/>
  <c r="G26" i="8" s="1"/>
  <c r="B18" i="8"/>
  <c r="G17" i="10" s="1"/>
  <c r="G20" i="10" s="1"/>
  <c r="G39" i="5"/>
  <c r="E29" i="8" s="1"/>
  <c r="G29" i="8" s="1"/>
  <c r="E31" i="8"/>
  <c r="G31" i="8" s="1"/>
  <c r="H41" i="5"/>
  <c r="H40" i="5"/>
  <c r="E30" i="8"/>
  <c r="E32" i="8"/>
  <c r="G32" i="8" s="1"/>
  <c r="H42" i="5"/>
  <c r="B13" i="8"/>
  <c r="B17" i="10" s="1"/>
  <c r="B20" i="10" s="1"/>
  <c r="D37" i="5"/>
  <c r="E37" i="5" s="1"/>
  <c r="G37" i="5" s="1"/>
  <c r="B19" i="8"/>
  <c r="H17" i="10" s="1"/>
  <c r="H20" i="10" s="1"/>
  <c r="B17" i="8"/>
  <c r="F17" i="10" s="1"/>
  <c r="F20" i="10" s="1"/>
  <c r="D46" i="4"/>
  <c r="E28" i="10"/>
  <c r="C29" i="4"/>
  <c r="G2" i="4"/>
  <c r="G5" i="10"/>
  <c r="C7" i="5"/>
  <c r="C7" i="8"/>
  <c r="F14" i="8" s="1"/>
  <c r="B27" i="8" s="1"/>
  <c r="G2" i="5"/>
  <c r="F2" i="8"/>
  <c r="G2" i="2"/>
  <c r="E2" i="7"/>
  <c r="G30" i="8"/>
  <c r="E20" i="7"/>
  <c r="E21" i="7" s="1"/>
  <c r="E22" i="7" s="1"/>
  <c r="E23" i="7" s="1"/>
  <c r="F44" i="4"/>
  <c r="I45" i="4" s="1"/>
  <c r="F9" i="5" s="1"/>
  <c r="D30" i="4"/>
  <c r="D47" i="7" l="1"/>
  <c r="F12" i="10" s="1"/>
  <c r="H38" i="5"/>
  <c r="H39" i="5"/>
  <c r="H36" i="5"/>
  <c r="G18" i="2"/>
  <c r="G19" i="2" s="1"/>
  <c r="G20" i="2" s="1"/>
  <c r="B49" i="2"/>
  <c r="B50" i="2"/>
  <c r="H37" i="5"/>
  <c r="E27" i="8"/>
  <c r="G27" i="8" s="1"/>
  <c r="F17" i="8"/>
  <c r="B30" i="8" s="1"/>
  <c r="F15" i="8"/>
  <c r="B28" i="8" s="1"/>
  <c r="F16" i="8"/>
  <c r="B29" i="8" s="1"/>
  <c r="F13" i="8"/>
  <c r="B26" i="8" s="1"/>
  <c r="F18" i="8"/>
  <c r="B31" i="8" s="1"/>
  <c r="F19" i="8"/>
  <c r="B32" i="8" s="1"/>
  <c r="D47" i="4"/>
  <c r="F7" i="5"/>
  <c r="E45" i="2" l="1"/>
  <c r="G21" i="2"/>
  <c r="C12" i="10"/>
  <c r="H12" i="10" s="1"/>
  <c r="C8" i="5"/>
  <c r="F8" i="5"/>
  <c r="D10" i="5"/>
  <c r="D9" i="5"/>
  <c r="F28" i="4"/>
  <c r="F29" i="4" s="1"/>
  <c r="E46" i="2" l="1"/>
  <c r="G53" i="2" s="1"/>
  <c r="E53" i="2" s="1"/>
  <c r="G22" i="2"/>
  <c r="B11" i="7"/>
  <c r="D31" i="4"/>
  <c r="I29" i="4"/>
  <c r="D48" i="7" l="1"/>
  <c r="F48" i="7" s="1"/>
  <c r="C6" i="2"/>
  <c r="C7" i="2" s="1"/>
  <c r="G23" i="2"/>
  <c r="G24" i="2" s="1"/>
  <c r="G25" i="2" s="1"/>
  <c r="G26" i="2" s="1"/>
  <c r="G27" i="2" s="1"/>
  <c r="G28" i="2" s="1"/>
  <c r="G29" i="2" s="1"/>
  <c r="E37" i="10"/>
  <c r="G37" i="10" s="1"/>
  <c r="E38" i="10"/>
  <c r="G38" i="10" s="1"/>
  <c r="E35" i="10"/>
  <c r="G52" i="2" l="1"/>
  <c r="E34" i="10"/>
  <c r="E66" i="2"/>
  <c r="E41" i="10"/>
  <c r="E52" i="2" l="1"/>
  <c r="F11" i="10"/>
  <c r="E57" i="2"/>
  <c r="E36" i="10"/>
  <c r="G36" i="10" s="1"/>
  <c r="E33" i="10"/>
  <c r="G33" i="10" s="1"/>
  <c r="G57" i="2" l="1"/>
  <c r="E31" i="10"/>
  <c r="G31" i="10" s="1"/>
  <c r="E54" i="2" l="1"/>
  <c r="E40" i="10"/>
  <c r="E4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E13" authorId="0" shapeId="0" xr:uid="{70F0E8AF-2313-4059-8CAC-E1B52949031C}">
      <text>
        <r>
          <rPr>
            <sz val="9"/>
            <color indexed="81"/>
            <rFont val="Tahoma"/>
            <family val="2"/>
          </rPr>
          <t>Mark with "X" as applicable</t>
        </r>
      </text>
    </comment>
    <comment ref="A22" authorId="0" shapeId="0" xr:uid="{A28B9102-7A8B-4D21-AB4C-F6C93CCE9092}">
      <text>
        <r>
          <rPr>
            <sz val="9"/>
            <color indexed="81"/>
            <rFont val="Tahoma"/>
            <family val="2"/>
          </rPr>
          <t>i.e. Other tests that would indicate soil permeability</t>
        </r>
      </text>
    </comment>
    <comment ref="C27" authorId="0" shapeId="0" xr:uid="{0A8D3538-DC03-4E57-A6CA-1A8653F295EE}">
      <text>
        <r>
          <rPr>
            <sz val="9"/>
            <color indexed="81"/>
            <rFont val="Tahoma"/>
            <family val="2"/>
          </rPr>
          <t>Example: "Row crop", "Trees", "Impervious", "Lawn", etc.</t>
        </r>
      </text>
    </comment>
    <comment ref="C29" authorId="0" shapeId="0" xr:uid="{493FE101-8884-45CC-A54B-6253D7FD9411}">
      <text>
        <r>
          <rPr>
            <sz val="9"/>
            <color indexed="81"/>
            <rFont val="Tahoma"/>
            <family val="2"/>
          </rPr>
          <t xml:space="preserve">Populates when sheet DE_1 is completed
May be manually entered at right
</t>
        </r>
      </text>
    </comment>
    <comment ref="E31" authorId="0" shapeId="0" xr:uid="{FDE20617-1CCA-4852-A3E1-4055A7E8E739}">
      <text>
        <r>
          <rPr>
            <sz val="9"/>
            <color indexed="81"/>
            <rFont val="Tahoma"/>
            <family val="2"/>
          </rPr>
          <t xml:space="preserve">Example, 1-2%
</t>
        </r>
      </text>
    </comment>
    <comment ref="E50" authorId="0" shapeId="0" xr:uid="{AB427C58-2F03-41DD-9214-6AFF89B7304F}">
      <text>
        <r>
          <rPr>
            <sz val="9"/>
            <color indexed="81"/>
            <rFont val="Tahoma"/>
            <family val="2"/>
          </rPr>
          <t>Example: Compacted clay, betonite, etc.</t>
        </r>
      </text>
    </comment>
    <comment ref="D58" authorId="0" shapeId="0" xr:uid="{6E783EA1-DBC8-4818-B7D7-5F848963CBD4}">
      <text>
        <r>
          <rPr>
            <sz val="9"/>
            <color indexed="81"/>
            <rFont val="Tahoma"/>
            <family val="2"/>
          </rPr>
          <t>City or county where local stormwater regulations must be met</t>
        </r>
      </text>
    </comment>
    <comment ref="F59" authorId="0" shapeId="0" xr:uid="{87B501F1-119B-405F-9160-41F5A054AA96}">
      <text>
        <r>
          <rPr>
            <sz val="9"/>
            <color indexed="81"/>
            <rFont val="Tahoma"/>
            <family val="2"/>
          </rPr>
          <t>Example: "Release rates at pre-settlement for similar storm event or 5-yr existing condition, whichever is less."</t>
        </r>
      </text>
    </comment>
    <comment ref="E62" authorId="0" shapeId="0" xr:uid="{1D6938BC-A48E-4222-B241-954C9EFC9F6E}">
      <text>
        <r>
          <rPr>
            <sz val="9"/>
            <color indexed="81"/>
            <rFont val="Tahoma"/>
            <family val="2"/>
          </rPr>
          <t>Is the perimeter buffer met, yes or no?</t>
        </r>
      </text>
    </comment>
    <comment ref="E63" authorId="0" shapeId="0" xr:uid="{D0998F15-8A63-4266-85EB-EA1C81A705AA}">
      <text>
        <r>
          <rPr>
            <sz val="9"/>
            <color indexed="81"/>
            <rFont val="Tahoma"/>
            <family val="2"/>
          </rPr>
          <t>Fill in the distances, or mark "NA"</t>
        </r>
      </text>
    </comment>
    <comment ref="E67" authorId="0" shapeId="0" xr:uid="{D658E970-E0DD-4369-B920-32FB8E02E7E5}">
      <text>
        <r>
          <rPr>
            <sz val="9"/>
            <color indexed="81"/>
            <rFont val="Tahoma"/>
            <family val="2"/>
          </rPr>
          <t>Is the utility setback met, yes or 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C11" authorId="0" shapeId="0" xr:uid="{504AF0BD-1C04-4EB8-A288-F2EB5AB05386}">
      <text>
        <r>
          <rPr>
            <sz val="9"/>
            <color indexed="81"/>
            <rFont val="Tahoma"/>
            <family val="2"/>
          </rPr>
          <t>These values pull automatically from the DE_1 and Step 4 spreadsheets.  It is recommended to complete these sheets.
In special circumstances, data can be entered manually at right.</t>
        </r>
      </text>
    </comment>
    <comment ref="D23" authorId="0" shapeId="0" xr:uid="{77E15F6A-711F-4F0B-B692-11ADC5370892}">
      <text>
        <r>
          <rPr>
            <sz val="9"/>
            <color indexed="81"/>
            <rFont val="Tahoma"/>
            <family val="2"/>
          </rPr>
          <t>These cells will pull data from Step 9 spreadsheet.  It is recommended to complete that sheet.
Data can be entered manually at right.</t>
        </r>
      </text>
    </comment>
    <comment ref="I23" authorId="0" shapeId="0" xr:uid="{B7429622-646D-4F27-AB71-6C99202AD751}">
      <text>
        <r>
          <rPr>
            <sz val="9"/>
            <color indexed="81"/>
            <rFont val="Tahoma"/>
            <family val="2"/>
          </rPr>
          <t>Will pull from Step 5-7 sheet or manually enter at right.</t>
        </r>
      </text>
    </comment>
    <comment ref="E28" authorId="0" shapeId="0" xr:uid="{C0985DFB-9C13-4E04-B7C1-9D8CBFF95C86}">
      <text>
        <r>
          <rPr>
            <sz val="9"/>
            <color indexed="81"/>
            <rFont val="Tahoma"/>
            <family val="2"/>
          </rPr>
          <t>Sheet DE_1 must be completed to have this calculate correctly.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K10" authorId="0" shapeId="0" xr:uid="{21392C0C-FD46-4C8E-B24E-527B3028C0A8}">
      <text>
        <r>
          <rPr>
            <sz val="9"/>
            <color indexed="81"/>
            <rFont val="Tahoma"/>
            <family val="2"/>
          </rPr>
          <t>Background CN data used for different land uses and soil types.  Not to be edited.</t>
        </r>
      </text>
    </comment>
    <comment ref="D13" authorId="0" shapeId="0" xr:uid="{AE1C50B1-0115-4C05-922B-BD1D2594A37C}">
      <text>
        <r>
          <rPr>
            <sz val="9"/>
            <color indexed="81"/>
            <rFont val="Tahoma"/>
            <family val="2"/>
          </rPr>
          <t>Calculates when data above is filled</t>
        </r>
      </text>
    </comment>
    <comment ref="C24" authorId="0" shapeId="0" xr:uid="{A18AE49D-C023-4276-A7E7-1BFC4F673E17}">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26" authorId="0" shapeId="0" xr:uid="{EC600F96-649C-4244-A41B-BB189535E83C}">
      <text>
        <r>
          <rPr>
            <sz val="9"/>
            <color indexed="81"/>
            <rFont val="Tahoma"/>
            <family val="2"/>
          </rPr>
          <t>Answer "Y" if "Other Areas" are to be treated as impervious for WQv calculations.</t>
        </r>
      </text>
    </comment>
    <comment ref="K26" authorId="0" shapeId="0" xr:uid="{5ACCA930-8671-4229-A527-9DC1E859A9CB}">
      <text>
        <r>
          <rPr>
            <sz val="9"/>
            <color indexed="81"/>
            <rFont val="Tahoma"/>
            <family val="2"/>
          </rPr>
          <t>If "Other Areas" land use is used, calculate the WQv of that area separately and enter it here.</t>
        </r>
      </text>
    </comment>
    <comment ref="D28" authorId="0" shapeId="0" xr:uid="{0CE676D5-AD0C-49FC-AA67-1A2FE3436102}">
      <text>
        <r>
          <rPr>
            <sz val="9"/>
            <color indexed="81"/>
            <rFont val="Tahoma"/>
            <family val="2"/>
          </rPr>
          <t>Calculates when data above is filled</t>
        </r>
      </text>
    </comment>
    <comment ref="C40" authorId="0" shapeId="0" xr:uid="{09393215-B1F6-493F-B897-725C489636D7}">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42" authorId="0" shapeId="0" xr:uid="{89B5515C-C4E9-4D3A-8D4E-3794C751BE31}">
      <text>
        <r>
          <rPr>
            <sz val="9"/>
            <color indexed="81"/>
            <rFont val="Tahoma"/>
            <family val="2"/>
          </rPr>
          <t>Answer "Y" if "Other Areas" are to be treated as impervious for WQv calculations.</t>
        </r>
      </text>
    </comment>
    <comment ref="K42" authorId="0" shapeId="0" xr:uid="{9D9443EF-0055-440C-A0AF-6AD7160F2249}">
      <text>
        <r>
          <rPr>
            <sz val="9"/>
            <color indexed="81"/>
            <rFont val="Tahoma"/>
            <family val="2"/>
          </rPr>
          <t>If "Other Areas" land use is used, calculate the WQv of that area separately and enter it here.</t>
        </r>
      </text>
    </comment>
    <comment ref="D44" authorId="0" shapeId="0" xr:uid="{5B61A8AE-8CE8-4D0C-8AA8-7625167236D5}">
      <text>
        <r>
          <rPr>
            <sz val="9"/>
            <color indexed="81"/>
            <rFont val="Tahoma"/>
            <family val="2"/>
          </rPr>
          <t>Calculates when data above is filled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F7" authorId="0" shapeId="0" xr:uid="{B95EFC90-5CF7-48EE-9197-E162953CED6D}">
      <text>
        <r>
          <rPr>
            <sz val="9"/>
            <color indexed="81"/>
            <rFont val="Tahoma"/>
            <family val="2"/>
          </rPr>
          <t>These values automatically calculate if sheet DE_1 is completed.</t>
        </r>
      </text>
    </comment>
    <comment ref="G18" authorId="0" shapeId="0" xr:uid="{2CE84533-6EE3-4F49-BEDB-9189C4F94832}">
      <text>
        <r>
          <rPr>
            <sz val="9"/>
            <color indexed="81"/>
            <rFont val="Tahoma"/>
            <family val="2"/>
          </rPr>
          <t>Enter data from the WQv TR-55 model (remember to use adjusted CNs for this event)</t>
        </r>
      </text>
    </comment>
    <comment ref="B19" authorId="0" shapeId="0" xr:uid="{E3E80E82-B33A-4E63-8178-301696E83CC3}">
      <text>
        <r>
          <rPr>
            <sz val="9"/>
            <color indexed="81"/>
            <rFont val="Tahoma"/>
            <family val="2"/>
          </rPr>
          <t xml:space="preserve">Enter other data from TR-55 model for all other events (1-yr thru 100-yr).
</t>
        </r>
      </text>
    </comment>
    <comment ref="G19" authorId="0" shapeId="0" xr:uid="{D3D8BAE7-CF9B-4C56-9D97-B4C940AADA7F}">
      <text>
        <r>
          <rPr>
            <sz val="9"/>
            <color indexed="81"/>
            <rFont val="Tahoma"/>
            <family val="2"/>
          </rPr>
          <t>Values for developed rates and volumes are TR-55 model output for runoff that enters or falls within the constructed wetland.</t>
        </r>
      </text>
    </comment>
    <comment ref="B36" authorId="0" shapeId="0" xr:uid="{91C8472C-2011-4F01-A8D0-BA26B5A84B14}">
      <text>
        <r>
          <rPr>
            <sz val="9"/>
            <color indexed="81"/>
            <rFont val="Tahoma"/>
            <family val="2"/>
          </rPr>
          <t>Allowable release rate (qo) has been set to use the lesser value of (1) pre-settlement rate for the same storm event or (2) the existing rate for the 5-year storm event.  Other values may be manually entered at right.</t>
        </r>
      </text>
    </comment>
    <comment ref="H36" authorId="0" shapeId="0" xr:uid="{70056018-84F5-43AE-AA27-75AC7F64DDF2}">
      <text>
        <r>
          <rPr>
            <sz val="9"/>
            <color indexed="81"/>
            <rFont val="Tahoma"/>
            <family val="2"/>
          </rPr>
          <t>This sheet can be used to estimate required storage volumes prior to developing a detailed grading plan for a certain site.  This allows an estimate of required land area to be determined, prior to extensive design.</t>
        </r>
      </text>
    </comment>
    <comment ref="J36" authorId="0" shapeId="0" xr:uid="{EF22A9F6-8EF5-4C66-B6DE-0F141C3FDC5F}">
      <text>
        <r>
          <rPr>
            <sz val="9"/>
            <color indexed="81"/>
            <rFont val="Tahoma"/>
            <family val="2"/>
          </rPr>
          <t>As needed, enter allowable release rate data manually here.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B7" authorId="0" shapeId="0" xr:uid="{27CABC90-CB2C-44F1-81FA-D418E9588CE7}">
      <text>
        <r>
          <rPr>
            <sz val="9"/>
            <color indexed="81"/>
            <rFont val="Tahoma"/>
            <family val="2"/>
          </rPr>
          <t>Cells will calculate based on data entered on sheet DE_1.</t>
        </r>
      </text>
    </comment>
    <comment ref="H7" authorId="0" shapeId="0" xr:uid="{FC853E4C-3F78-4FDE-A0B3-461253C59320}">
      <text>
        <r>
          <rPr>
            <sz val="9"/>
            <color indexed="81"/>
            <rFont val="Tahoma"/>
            <family val="2"/>
          </rPr>
          <t>Data may be entered manually here.</t>
        </r>
      </text>
    </comment>
    <comment ref="D9" authorId="0" shapeId="0" xr:uid="{48E7B61E-6CED-4856-AA9C-28D28BC93C19}">
      <text>
        <r>
          <rPr>
            <sz val="9"/>
            <color indexed="81"/>
            <rFont val="Tahoma"/>
            <family val="2"/>
          </rPr>
          <t>Example: "Vegetative buffer strip, etc."</t>
        </r>
      </text>
    </comment>
    <comment ref="B18" authorId="0" shapeId="0" xr:uid="{5315F026-00E4-4424-A707-3CC3830FCCA7}">
      <text>
        <r>
          <rPr>
            <sz val="9"/>
            <color indexed="81"/>
            <rFont val="Tahoma"/>
            <family val="2"/>
          </rPr>
          <t>Enter stage-area information for each forebay here…</t>
        </r>
      </text>
    </comment>
    <comment ref="B29" authorId="0" shapeId="0" xr:uid="{ED2CC6A0-3E0B-4515-A1F4-EE258169E362}">
      <text>
        <r>
          <rPr>
            <sz val="9"/>
            <color indexed="81"/>
            <rFont val="Tahoma"/>
            <family val="2"/>
          </rPr>
          <t>Enter stage-area information for each forebay here…</t>
        </r>
      </text>
    </comment>
    <comment ref="B40" authorId="0" shapeId="0" xr:uid="{1527ED4C-5FCF-41AA-BC74-DDFBF4218D37}">
      <text>
        <r>
          <rPr>
            <sz val="9"/>
            <color indexed="81"/>
            <rFont val="Tahoma"/>
            <family val="2"/>
          </rPr>
          <t>Enter stage-area information for each forebay here…</t>
        </r>
      </text>
    </comment>
    <comment ref="D47" authorId="0" shapeId="0" xr:uid="{BB875381-10F5-4935-9BAA-85B0908A6805}">
      <text>
        <r>
          <rPr>
            <sz val="9"/>
            <color indexed="81"/>
            <rFont val="Tahoma"/>
            <family val="2"/>
          </rPr>
          <t>Enter stage-storage data above to calculate this value</t>
        </r>
      </text>
    </comment>
    <comment ref="H47" authorId="0" shapeId="0" xr:uid="{2DDE57BF-8B29-4123-8220-56FF2E169A2B}">
      <text>
        <r>
          <rPr>
            <sz val="9"/>
            <color indexed="81"/>
            <rFont val="Tahoma"/>
            <family val="2"/>
          </rPr>
          <t>Data may be entered manually here.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A5" authorId="0" shapeId="0" xr:uid="{45B903CB-C3C9-4A2B-AD33-D3CF1E3319BB}">
      <text>
        <r>
          <rPr>
            <sz val="9"/>
            <color indexed="81"/>
            <rFont val="Tahoma"/>
            <family val="2"/>
          </rPr>
          <t>"MANUAL" will appear here if data is manually entered to override data taken from Step 3 and Step 4 spreadsheets.</t>
        </r>
      </text>
    </comment>
    <comment ref="G5" authorId="0" shapeId="0" xr:uid="{A08B07B3-6174-4FEA-9F99-C3740F0120E8}">
      <text>
        <r>
          <rPr>
            <sz val="9"/>
            <color indexed="81"/>
            <rFont val="Tahoma"/>
            <family val="2"/>
          </rPr>
          <t xml:space="preserve">Enter the normal water surface elevation here.
</t>
        </r>
      </text>
    </comment>
    <comment ref="L5" authorId="0" shapeId="0" xr:uid="{B1D8E176-2708-4AB1-8787-BE8FA146C16B}">
      <text>
        <r>
          <rPr>
            <sz val="9"/>
            <color indexed="81"/>
            <rFont val="Tahoma"/>
            <family val="2"/>
          </rPr>
          <t>Data may be entered here manually, if data from Step 3 and Step 4 spreadsheet calculations is not to be used.</t>
        </r>
      </text>
    </comment>
    <comment ref="I11" authorId="0" shapeId="0" xr:uid="{249FEC82-C9C9-4F1D-92C3-B0FA5515A01A}">
      <text>
        <r>
          <rPr>
            <sz val="9"/>
            <color indexed="81"/>
            <rFont val="Tahoma"/>
            <family val="2"/>
          </rPr>
          <t xml:space="preserve">This method of storage calculation is used to calculate the water stored by zone (high-low marsh, shallow-deep pool).
This procedure ensures that the volume of water less than 18" deep over the shallow and deep pool zones are appropriately assigned to pool zones (not marshes).
</t>
        </r>
      </text>
    </comment>
    <comment ref="A14" authorId="0" shapeId="0" xr:uid="{E54F5ABA-9E65-45FD-9A03-D1B8991BAEF1}">
      <text>
        <r>
          <rPr>
            <sz val="9"/>
            <color indexed="81"/>
            <rFont val="Tahoma"/>
            <family val="2"/>
          </rPr>
          <t>Depth vs. Area data must be entered for these intervals from 0 to 3 feet depth below water surface for the spreadsheet to calculate marsh vs. pool volumes correctly.
Beyond 3 feet in depth, there is more flexibility for the user to enter data.</t>
        </r>
      </text>
    </comment>
    <comment ref="C14" authorId="0" shapeId="0" xr:uid="{C3CAADD0-E25C-4402-A742-44C7735C401D}">
      <text>
        <r>
          <rPr>
            <sz val="9"/>
            <color indexed="81"/>
            <rFont val="Tahoma"/>
            <family val="2"/>
          </rPr>
          <t xml:space="preserve">Enter contour area information derived from grading plan here.  Cells may be left blank as needed.
</t>
        </r>
      </text>
    </comment>
    <comment ref="C39" authorId="0" shapeId="0" xr:uid="{53C8C5BD-C8D1-4661-AAE4-F11E818EB28E}">
      <text>
        <r>
          <rPr>
            <sz val="9"/>
            <color indexed="81"/>
            <rFont val="Tahoma"/>
            <family val="2"/>
          </rPr>
          <t>Enter contour area information derived from grading plan here.  Cells may be left blank as needed.</t>
        </r>
      </text>
    </comment>
    <comment ref="A40" authorId="0" shapeId="0" xr:uid="{CD2A230A-7B97-40E0-B9B9-7A61F8660F44}">
      <text>
        <r>
          <rPr>
            <sz val="9"/>
            <color indexed="81"/>
            <rFont val="Tahoma"/>
            <family val="2"/>
          </rPr>
          <t>Data may be entered at any interval the user wishes to use, although generally 0.5 or 1.0 foot increments are recommended.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E13" authorId="0" shapeId="0" xr:uid="{111A592F-BE79-40CC-9C02-C8259659BD3B}">
      <text>
        <r>
          <rPr>
            <sz val="9"/>
            <color indexed="81"/>
            <rFont val="Tahoma"/>
            <family val="2"/>
          </rPr>
          <t>This data can usually be obtained from routing output
Peak outflow rate (cfs), High water elevation (feet) and Maximum Storage Volume above Permanent Pool (feet)</t>
        </r>
      </text>
    </comment>
    <comment ref="C26" authorId="0" shapeId="0" xr:uid="{654207AF-EB04-44FD-964A-74E8F2CA79AD}">
      <text>
        <r>
          <rPr>
            <sz val="9"/>
            <color indexed="81"/>
            <rFont val="Tahoma"/>
            <family val="2"/>
          </rPr>
          <t>This is the difference (in minutes) between the peak of the inflow hydrograph to the wetland and the peak of the outflow hydrograph.  This can usually be determined from routing output.</t>
        </r>
      </text>
    </comment>
  </commentList>
</comments>
</file>

<file path=xl/sharedStrings.xml><?xml version="1.0" encoding="utf-8"?>
<sst xmlns="http://schemas.openxmlformats.org/spreadsheetml/2006/main" count="531" uniqueCount="304">
  <si>
    <t>Storage Calculation Sheets</t>
  </si>
  <si>
    <t>Elevation</t>
  </si>
  <si>
    <t>Contour Area</t>
  </si>
  <si>
    <t>Inc. Volume</t>
  </si>
  <si>
    <t>Cumulative Volume</t>
  </si>
  <si>
    <t>Average Depth</t>
  </si>
  <si>
    <t>Marsh Volume</t>
  </si>
  <si>
    <t>WQv Required</t>
  </si>
  <si>
    <t>of WQv</t>
  </si>
  <si>
    <t>Deep Pool Surface Area</t>
  </si>
  <si>
    <t>Total Pool Surface Area</t>
  </si>
  <si>
    <t>&lt; 25%</t>
  </si>
  <si>
    <t>&lt; 35%</t>
  </si>
  <si>
    <t>Low Marsh Area</t>
  </si>
  <si>
    <t>High Marsh Area</t>
  </si>
  <si>
    <t>Difference in Marsh Areas</t>
  </si>
  <si>
    <t>&lt; 20%</t>
  </si>
  <si>
    <t>Pretreat Req.</t>
  </si>
  <si>
    <t>Pretreat by Other Practices</t>
  </si>
  <si>
    <t>Forebay Required Volume</t>
  </si>
  <si>
    <t>Forebay Capacity</t>
  </si>
  <si>
    <t>of Req.</t>
  </si>
  <si>
    <t>Temporary Storage</t>
  </si>
  <si>
    <t>Soils Information</t>
  </si>
  <si>
    <t>Source:</t>
  </si>
  <si>
    <t>County Soils Map</t>
  </si>
  <si>
    <t>Site Specific Geotechnical Report</t>
  </si>
  <si>
    <t>HSG</t>
  </si>
  <si>
    <t>HSG of Soils at Wetland Site:</t>
  </si>
  <si>
    <t>A</t>
  </si>
  <si>
    <t>B</t>
  </si>
  <si>
    <t>C</t>
  </si>
  <si>
    <t>D</t>
  </si>
  <si>
    <t>Other available soils information (permeability, soil properties, etc.):</t>
  </si>
  <si>
    <t>Existing vegetation:</t>
  </si>
  <si>
    <t>prairie remnants</t>
  </si>
  <si>
    <t>native vegetation</t>
  </si>
  <si>
    <t>savanna</t>
  </si>
  <si>
    <t>other</t>
  </si>
  <si>
    <t>Tributary area:</t>
  </si>
  <si>
    <t>acres</t>
  </si>
  <si>
    <t>%</t>
  </si>
  <si>
    <t>Depth to groundwater table:</t>
  </si>
  <si>
    <t>feet (below pre-construction surface)</t>
  </si>
  <si>
    <t>Approximate slope across site (pre-construction):</t>
  </si>
  <si>
    <t>Hotspot uses expected in watershed:</t>
  </si>
  <si>
    <t>(Y or N)</t>
  </si>
  <si>
    <t>Site Evaluation Criteria</t>
  </si>
  <si>
    <t>Initial Planning - Stormwater Wetland Elements</t>
  </si>
  <si>
    <t>Pretreatment</t>
  </si>
  <si>
    <t>forebay</t>
  </si>
  <si>
    <t>vegetative buffer</t>
  </si>
  <si>
    <t>grass swale</t>
  </si>
  <si>
    <t>Microtopography</t>
  </si>
  <si>
    <t>Pool zones</t>
  </si>
  <si>
    <t>max depth</t>
  </si>
  <si>
    <t>Multi-stage outlet</t>
  </si>
  <si>
    <t>Dam</t>
  </si>
  <si>
    <t>Emergency spillway</t>
  </si>
  <si>
    <t>Stable outfall</t>
  </si>
  <si>
    <t>Setbacks</t>
  </si>
  <si>
    <t>Perimeter</t>
  </si>
  <si>
    <t>Property line</t>
  </si>
  <si>
    <t>(25' min - Y or N?)</t>
  </si>
  <si>
    <t xml:space="preserve">Private well </t>
  </si>
  <si>
    <t>Building structure</t>
  </si>
  <si>
    <t>(25' min)</t>
  </si>
  <si>
    <t>(10' min)</t>
  </si>
  <si>
    <t>(100' min / 250' for hotspot)</t>
  </si>
  <si>
    <t>Septic / leach field</t>
  </si>
  <si>
    <t>(50' feet)</t>
  </si>
  <si>
    <t>Utilities</t>
  </si>
  <si>
    <t xml:space="preserve"> </t>
  </si>
  <si>
    <t>(Outside perimeter or access provision - Y or N?)</t>
  </si>
  <si>
    <t>Existing wetlands within site area:</t>
  </si>
  <si>
    <t>Watershed Properties</t>
  </si>
  <si>
    <t>Impervious*</t>
  </si>
  <si>
    <t>(area in acres)</t>
  </si>
  <si>
    <t>Open space CN</t>
  </si>
  <si>
    <t>Open Space (w/8" SQR)</t>
  </si>
  <si>
    <t>Open Space (w/4" SQR)</t>
  </si>
  <si>
    <t>Open Space (&lt;4" SQR)</t>
  </si>
  <si>
    <t>Other Areas</t>
  </si>
  <si>
    <t>Total Watershed Area:</t>
  </si>
  <si>
    <t>Effective Impervious Area:</t>
  </si>
  <si>
    <t>Rv:</t>
  </si>
  <si>
    <t>WQv:</t>
  </si>
  <si>
    <t>WQv precip:</t>
  </si>
  <si>
    <t>inches</t>
  </si>
  <si>
    <t>CN for most events:</t>
  </si>
  <si>
    <t>Adjusted CN (for WQv modeling):</t>
  </si>
  <si>
    <t>(permeable pavements, green roofs)</t>
  </si>
  <si>
    <t>Storm Event</t>
  </si>
  <si>
    <t>WQv</t>
  </si>
  <si>
    <t>Rainfall</t>
  </si>
  <si>
    <t>Existing</t>
  </si>
  <si>
    <t>Developed</t>
  </si>
  <si>
    <t>Pre-settlement</t>
  </si>
  <si>
    <t>Peak rate</t>
  </si>
  <si>
    <t>Volume</t>
  </si>
  <si>
    <t>cfs</t>
  </si>
  <si>
    <t>CF</t>
  </si>
  <si>
    <t>Existing Watershed Area</t>
  </si>
  <si>
    <t>Pre-settlement Watershed Area</t>
  </si>
  <si>
    <t>Proposed Watershed Area</t>
  </si>
  <si>
    <t>Water Quality Volume</t>
  </si>
  <si>
    <t>feet</t>
  </si>
  <si>
    <t>Describe "other":</t>
  </si>
  <si>
    <t>Meadow in Good Condition</t>
  </si>
  <si>
    <t>CN of Other Areas**</t>
  </si>
  <si>
    <t>Row Crops (C+CR, good condition)</t>
  </si>
  <si>
    <t>Other Areas Counted as Impervious for WQv calculation?</t>
  </si>
  <si>
    <t>(Y/N)</t>
  </si>
  <si>
    <t>N</t>
  </si>
  <si>
    <t>** Provide calculations of weighted CNs for "Other Areas" if more than one land use type</t>
  </si>
  <si>
    <t>Qa:</t>
  </si>
  <si>
    <t>Enter Data in Gray Fields</t>
  </si>
  <si>
    <t>* Only include true impervious areas (buildings, standard pavement types, etc.)</t>
  </si>
  <si>
    <t>watershed-inches</t>
  </si>
  <si>
    <t>TR-55 Output (Flow to Wetland Location)</t>
  </si>
  <si>
    <t>Design Review Checklist for Stormwater Wetlands</t>
  </si>
  <si>
    <t>Applicant:</t>
  </si>
  <si>
    <t>Submitted by:</t>
  </si>
  <si>
    <t>Date:</t>
  </si>
  <si>
    <t>Location:</t>
  </si>
  <si>
    <t>Channel Protection Volume Metrics:</t>
  </si>
  <si>
    <t>CPv Qa:</t>
  </si>
  <si>
    <t>CPv qu:</t>
  </si>
  <si>
    <t>csm/in</t>
  </si>
  <si>
    <t>qo/qi:</t>
  </si>
  <si>
    <t>(From Figure C3-S6-1)</t>
  </si>
  <si>
    <t>qo:</t>
  </si>
  <si>
    <t>qo</t>
  </si>
  <si>
    <t>qi</t>
  </si>
  <si>
    <t>qo/qi</t>
  </si>
  <si>
    <t>Vs/Vr</t>
  </si>
  <si>
    <t>Vr</t>
  </si>
  <si>
    <t>Vs</t>
  </si>
  <si>
    <t>Vs *1.15</t>
  </si>
  <si>
    <t>Forebay #1 Storage</t>
  </si>
  <si>
    <t>Forebay #2 Storage</t>
  </si>
  <si>
    <t>Forebay #3 Storage</t>
  </si>
  <si>
    <t>Total Forebay Storage</t>
  </si>
  <si>
    <t>SF</t>
  </si>
  <si>
    <t>Pretreatment Calculations</t>
  </si>
  <si>
    <t>Wetland Permanent Pool Storage</t>
  </si>
  <si>
    <t>WQv Remaining</t>
  </si>
  <si>
    <t>Temporary Storage (Above Permanent Pool)</t>
  </si>
  <si>
    <t>of WQv (&gt;25%)</t>
  </si>
  <si>
    <t>of perm. pool (&lt; 20%)</t>
  </si>
  <si>
    <t>of perm. pool (&lt; 25%)</t>
  </si>
  <si>
    <t>Contour Area*</t>
  </si>
  <si>
    <t>* Does not include areas within forebays</t>
  </si>
  <si>
    <t>Total Permanent Pool Storage</t>
  </si>
  <si>
    <t>Total Temporary Storage</t>
  </si>
  <si>
    <t>Permanent Pool Storage</t>
  </si>
  <si>
    <t>of WQv (&gt;100%)</t>
  </si>
  <si>
    <t>Allowed</t>
  </si>
  <si>
    <t>Out</t>
  </si>
  <si>
    <t>High Water Elevation</t>
  </si>
  <si>
    <t>Max. Temp. Storage above Pool</t>
  </si>
  <si>
    <t>(cfs)</t>
  </si>
  <si>
    <t>(feet)</t>
  </si>
  <si>
    <t>(CF)</t>
  </si>
  <si>
    <t>(watershed-inches)</t>
  </si>
  <si>
    <t>1-year (CPv)</t>
  </si>
  <si>
    <t>2-year</t>
  </si>
  <si>
    <t>5-year</t>
  </si>
  <si>
    <t>10-year</t>
  </si>
  <si>
    <t>25-year</t>
  </si>
  <si>
    <t>50-year</t>
  </si>
  <si>
    <t>100-year</t>
  </si>
  <si>
    <t>Stormwater Wetland Performance Table</t>
  </si>
  <si>
    <t> </t>
  </si>
  <si>
    <t>Max. Rainfall Volume Stored</t>
  </si>
  <si>
    <t>Initial Storage Estimate*</t>
  </si>
  <si>
    <t>Reduction</t>
  </si>
  <si>
    <t>In vs. Out</t>
  </si>
  <si>
    <t>Event</t>
  </si>
  <si>
    <t>(min)</t>
  </si>
  <si>
    <t>(%)</t>
  </si>
  <si>
    <t>CPv (1-year)</t>
  </si>
  <si>
    <t>Peak Delay In vs. Out</t>
  </si>
  <si>
    <t>Peak Flow Reduction In vs. Out</t>
  </si>
  <si>
    <t>Final / Estimate</t>
  </si>
  <si>
    <t>*Original "Vs" Storage Estimate Without Safety Factor</t>
  </si>
  <si>
    <t>Initial Storage Estimation</t>
  </si>
  <si>
    <t>Project:</t>
  </si>
  <si>
    <t>Project Name</t>
  </si>
  <si>
    <t>South Central Iowa</t>
  </si>
  <si>
    <t>Step 3.   Compute runoff control volumes from the stormwater Unified Sizing Criteria</t>
  </si>
  <si>
    <t>Step 4.   Determine pre-treatment measures</t>
  </si>
  <si>
    <t>Steps 5-7.  Preliminary stage-storage, refine, develop grading plan.</t>
  </si>
  <si>
    <t>Step 9.  Revise stage-storage relationships.  Perform a stage-storage-discharge routing.</t>
  </si>
  <si>
    <t>&lt; Date</t>
  </si>
  <si>
    <t>Describe other pre-treatment measures (below)</t>
  </si>
  <si>
    <t>If yes: jurisdictional determination made?</t>
  </si>
  <si>
    <t>Copy of Geotech Report Provided? (Y or N)</t>
  </si>
  <si>
    <t>(mark with X below)</t>
  </si>
  <si>
    <t>Pond liner</t>
  </si>
  <si>
    <t>type</t>
  </si>
  <si>
    <t>(Page 1 -- Site Screening / Initial Planning)</t>
  </si>
  <si>
    <t>(Page 2 -- Design Summary)</t>
  </si>
  <si>
    <t>Unified Sizing Criteria</t>
  </si>
  <si>
    <t>Required:</t>
  </si>
  <si>
    <t>Provided:</t>
  </si>
  <si>
    <t>CPv (1-yr)</t>
  </si>
  <si>
    <t>2-yr</t>
  </si>
  <si>
    <t>5-yr</t>
  </si>
  <si>
    <t>10-yr</t>
  </si>
  <si>
    <t>25-yr</t>
  </si>
  <si>
    <t>50-yr</t>
  </si>
  <si>
    <t>100-yr</t>
  </si>
  <si>
    <t>Allowed Release</t>
  </si>
  <si>
    <t>Predicted Outflow</t>
  </si>
  <si>
    <t>Criteria Met?</t>
  </si>
  <si>
    <t>Normal pool elevation</t>
  </si>
  <si>
    <t>Pretreatment Volume</t>
  </si>
  <si>
    <t>CF*</t>
  </si>
  <si>
    <t>* Includes pre-treatment required volume (if requirements met)</t>
  </si>
  <si>
    <t>Wetland Metrics</t>
  </si>
  <si>
    <t>&gt; 100%</t>
  </si>
  <si>
    <t>&gt; 25%</t>
  </si>
  <si>
    <t>of perm. pool</t>
  </si>
  <si>
    <t>Is Extended Detention (ED) being used to meet WQv requirements?</t>
  </si>
  <si>
    <t>Wetland Topography</t>
  </si>
  <si>
    <t>Average straight line distance from inlet(s) to outlet</t>
  </si>
  <si>
    <t>Average flow path through wetland from inlet(s) to outlet</t>
  </si>
  <si>
    <t>Ratio</t>
  </si>
  <si>
    <t>Max side slope interior berms</t>
  </si>
  <si>
    <t>H:V slope</t>
  </si>
  <si>
    <t>Max side slope perimeter below CPv elevation</t>
  </si>
  <si>
    <t>Safety bench of 10' to any water depth of 2' or more</t>
  </si>
  <si>
    <t>acre-feet</t>
  </si>
  <si>
    <t>Total Storage</t>
  </si>
  <si>
    <t>Height of dam</t>
  </si>
  <si>
    <t>**based on permanent pool footprint area</t>
  </si>
  <si>
    <t>Wetland to Watershed Ratio**</t>
  </si>
  <si>
    <t>of watershed area</t>
  </si>
  <si>
    <t>Is site located within a regulated floodplain?</t>
  </si>
  <si>
    <t>Habitat for endangered / threatened species found?</t>
  </si>
  <si>
    <t>Other Information</t>
  </si>
  <si>
    <t>Is a Joint Permit Application to IDNR / USCOE required?</t>
  </si>
  <si>
    <t>Has it been obtained?</t>
  </si>
  <si>
    <t>Inlet / outlet details</t>
  </si>
  <si>
    <t>Required for review</t>
  </si>
  <si>
    <t>Landscaping plan (temporary and permanent stabilization)</t>
  </si>
  <si>
    <t>Establishment and maintenance plan</t>
  </si>
  <si>
    <t>Completed IDNR Form 542-1014</t>
  </si>
  <si>
    <t>Provided?                   (Y or N)</t>
  </si>
  <si>
    <t>Dam review required?</t>
  </si>
  <si>
    <t>Design calculations following ISWMM procedure</t>
  </si>
  <si>
    <t>Plans and specifications</t>
  </si>
  <si>
    <t>Watershed Data Entry Sheet</t>
  </si>
  <si>
    <t>Enter values in blue</t>
  </si>
  <si>
    <t>Enter values in colored cells from TR-55 data input / output</t>
  </si>
  <si>
    <t>Provide information in colored blank fields below (other information populates from data entry sheets)</t>
  </si>
  <si>
    <t>Hydrology Data Entry Sheet</t>
  </si>
  <si>
    <t>Pretreatment Data Entry Sheet</t>
  </si>
  <si>
    <t>Stage-Storage Data Entry Sheet</t>
  </si>
  <si>
    <t>Routing Results Data Entry Sheet</t>
  </si>
  <si>
    <t>Stormwater Wetland Metrics Table</t>
  </si>
  <si>
    <t>Outfall protection calcs</t>
  </si>
  <si>
    <t>Describe local stormwater management requirements</t>
  </si>
  <si>
    <t>Predicted high water elev above normal pool (ft)</t>
  </si>
  <si>
    <t>Difference**</t>
  </si>
  <si>
    <t>** Difference = Contour Area Above - Contour Area Below</t>
  </si>
  <si>
    <t>Designer name</t>
  </si>
  <si>
    <t>Applicant name</t>
  </si>
  <si>
    <t>Below W.S.</t>
  </si>
  <si>
    <t>HI</t>
  </si>
  <si>
    <t>MARSH</t>
  </si>
  <si>
    <t>LO</t>
  </si>
  <si>
    <t>POOL</t>
  </si>
  <si>
    <t>Normal Water Surface Elevation (W.S.)</t>
  </si>
  <si>
    <t>Above W.S.</t>
  </si>
  <si>
    <t>NA</t>
  </si>
  <si>
    <t>acre-feet***</t>
  </si>
  <si>
    <t>Area Check</t>
  </si>
  <si>
    <t>of perm. pool (&lt; 35%)</t>
  </si>
  <si>
    <t>Enter values in gray related to stage-storage information</t>
  </si>
  <si>
    <t>Manual Entry</t>
  </si>
  <si>
    <t>(mark all that apply with X)</t>
  </si>
  <si>
    <t>Local review jurisdiction</t>
  </si>
  <si>
    <t>Tributary Area (acres)</t>
  </si>
  <si>
    <t>WQv Required (CF)</t>
  </si>
  <si>
    <t>Pretreatment Required (CF)</t>
  </si>
  <si>
    <t>CPv elevation</t>
  </si>
  <si>
    <t>10-year elevation</t>
  </si>
  <si>
    <t>100-year elevation</t>
  </si>
  <si>
    <r>
      <rPr>
        <b/>
        <sz val="9"/>
        <color rgb="FFFF0000"/>
        <rFont val="Calibri"/>
        <family val="2"/>
        <scheme val="minor"/>
      </rPr>
      <t>Red Text = Area in acres</t>
    </r>
    <r>
      <rPr>
        <b/>
        <sz val="9"/>
        <color theme="1"/>
        <rFont val="Calibri"/>
        <family val="2"/>
        <scheme val="minor"/>
      </rPr>
      <t xml:space="preserve">, </t>
    </r>
    <r>
      <rPr>
        <b/>
        <sz val="9"/>
        <color theme="9" tint="-0.249977111117893"/>
        <rFont val="Calibri"/>
        <family val="2"/>
        <scheme val="minor"/>
      </rPr>
      <t>Green Text = CN</t>
    </r>
    <r>
      <rPr>
        <b/>
        <sz val="9"/>
        <color theme="1"/>
        <rFont val="Calibri"/>
        <family val="2"/>
        <scheme val="minor"/>
      </rPr>
      <t xml:space="preserve">, </t>
    </r>
    <r>
      <rPr>
        <b/>
        <sz val="9"/>
        <color rgb="FF0070C0"/>
        <rFont val="Calibri"/>
        <family val="2"/>
        <scheme val="minor"/>
      </rPr>
      <t>Blue Text = Y or N</t>
    </r>
  </si>
  <si>
    <t>WQv Required for Other Areas (CF)</t>
  </si>
  <si>
    <t>Allowable Release</t>
  </si>
  <si>
    <t>WQv required</t>
  </si>
  <si>
    <t>Pretreatment required</t>
  </si>
  <si>
    <t>Enter values in grey from TR-55 routing output</t>
  </si>
  <si>
    <t>Final Storage Routing Result</t>
  </si>
  <si>
    <t>Open Space (w/&gt;=4" SQR, &lt;8")</t>
  </si>
  <si>
    <t>Open Space (w/&gt;=8" SQR)</t>
  </si>
  <si>
    <t>Forebay Pool Elevation=</t>
  </si>
  <si>
    <t>Depth Below Pool</t>
  </si>
  <si>
    <t>Provide project information above and in colored blank fields below</t>
  </si>
  <si>
    <t>Forebay Storage</t>
  </si>
  <si>
    <t>***Excludes forebays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</si>
</sst>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
    <numFmt numFmtId="166" formatCode="0.0"/>
    <numFmt numFmtId="167" formatCode="#,##0.0"/>
    <numFmt numFmtId="168" formatCode="_(* #,##0_);_(* \(#,##0\);_(* &quot;-&quot;??_);_(@_)"/>
  </numFmts>
  <fonts count="25" x14ac:knownFonts="1">
    <font>
      <sz val="11"/>
      <color theme="1"/>
      <name val="Calibri"/>
      <family val="2"/>
      <scheme val="minor"/>
    </font>
    <font>
      <sz val="11"/>
      <color theme="1"/>
      <name val="Calibri"/>
      <family val="2"/>
      <scheme val="minor"/>
    </font>
    <font>
      <sz val="9"/>
      <color theme="1"/>
      <name val="Calibri"/>
      <family val="2"/>
      <scheme val="minor"/>
    </font>
    <font>
      <b/>
      <sz val="11"/>
      <color theme="1"/>
      <name val="Calibri"/>
      <family val="2"/>
      <scheme val="minor"/>
    </font>
    <font>
      <b/>
      <sz val="9"/>
      <color theme="1"/>
      <name val="Calibri"/>
      <family val="2"/>
      <scheme val="minor"/>
    </font>
    <font>
      <b/>
      <u/>
      <sz val="9"/>
      <color theme="1"/>
      <name val="Calibri"/>
      <family val="2"/>
      <scheme val="minor"/>
    </font>
    <font>
      <i/>
      <sz val="9"/>
      <color theme="1"/>
      <name val="Calibri"/>
      <family val="2"/>
      <scheme val="minor"/>
    </font>
    <font>
      <i/>
      <sz val="8"/>
      <color theme="1"/>
      <name val="Calibri"/>
      <family val="2"/>
      <scheme val="minor"/>
    </font>
    <font>
      <sz val="9"/>
      <color rgb="FFFF0000"/>
      <name val="Calibri"/>
      <family val="2"/>
      <scheme val="minor"/>
    </font>
    <font>
      <sz val="9"/>
      <color theme="9" tint="-0.249977111117893"/>
      <name val="Calibri"/>
      <family val="2"/>
      <scheme val="minor"/>
    </font>
    <font>
      <sz val="9"/>
      <color rgb="FF0070C0"/>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8"/>
      <color theme="1"/>
      <name val="Calibri"/>
      <family val="2"/>
      <scheme val="minor"/>
    </font>
    <font>
      <b/>
      <i/>
      <sz val="10"/>
      <color theme="1"/>
      <name val="Calibri"/>
      <family val="2"/>
      <scheme val="minor"/>
    </font>
    <font>
      <b/>
      <i/>
      <sz val="9"/>
      <color theme="1"/>
      <name val="Calibri"/>
      <family val="2"/>
      <scheme val="minor"/>
    </font>
    <font>
      <sz val="9"/>
      <color indexed="81"/>
      <name val="Tahoma"/>
      <family val="2"/>
    </font>
    <font>
      <sz val="9"/>
      <color theme="8" tint="-0.249977111117893"/>
      <name val="Calibri"/>
      <family val="2"/>
      <scheme val="minor"/>
    </font>
    <font>
      <b/>
      <u/>
      <sz val="9"/>
      <color rgb="FFC00000"/>
      <name val="Calibri"/>
      <family val="2"/>
      <scheme val="minor"/>
    </font>
    <font>
      <b/>
      <sz val="9"/>
      <color rgb="FFFF0000"/>
      <name val="Calibri"/>
      <family val="2"/>
      <scheme val="minor"/>
    </font>
    <font>
      <b/>
      <sz val="9"/>
      <color theme="9" tint="-0.249977111117893"/>
      <name val="Calibri"/>
      <family val="2"/>
      <scheme val="minor"/>
    </font>
    <font>
      <b/>
      <sz val="9"/>
      <color rgb="FF0070C0"/>
      <name val="Calibri"/>
      <family val="2"/>
      <scheme val="minor"/>
    </font>
    <font>
      <b/>
      <u/>
      <sz val="9"/>
      <color rgb="FFFF0000"/>
      <name val="Calibri"/>
      <family val="2"/>
      <scheme val="minor"/>
    </font>
    <font>
      <sz val="11"/>
      <color theme="4"/>
      <name val="Calibri"/>
      <family val="2"/>
      <scheme val="minor"/>
    </font>
  </fonts>
  <fills count="22">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darkDown">
        <fgColor theme="0" tint="-0.34998626667073579"/>
        <bgColor theme="9" tint="0.79998168889431442"/>
      </patternFill>
    </fill>
    <fill>
      <patternFill patternType="darkDown">
        <fgColor theme="0" tint="-0.34998626667073579"/>
        <bgColor theme="7" tint="0.79998168889431442"/>
      </patternFill>
    </fill>
    <fill>
      <patternFill patternType="solid">
        <fgColor theme="2"/>
        <bgColor indexed="64"/>
      </patternFill>
    </fill>
    <fill>
      <patternFill patternType="solid">
        <fgColor theme="9" tint="0.39997558519241921"/>
        <bgColor indexed="64"/>
      </patternFill>
    </fill>
  </fills>
  <borders count="15">
    <border>
      <left/>
      <right/>
      <top/>
      <bottom/>
      <diagonal/>
    </border>
    <border>
      <left/>
      <right/>
      <top/>
      <bottom style="thin">
        <color indexed="64"/>
      </bottom>
      <diagonal/>
    </border>
    <border>
      <left/>
      <right/>
      <top/>
      <bottom style="thin">
        <color rgb="FFC00000"/>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rgb="FFC00000"/>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04">
    <xf numFmtId="0" fontId="0" fillId="0" borderId="0" xfId="0"/>
    <xf numFmtId="0" fontId="2" fillId="0" borderId="0" xfId="0" applyFont="1"/>
    <xf numFmtId="0" fontId="2" fillId="0" borderId="0" xfId="0" applyFont="1" applyAlignment="1">
      <alignment horizontal="right"/>
    </xf>
    <xf numFmtId="0" fontId="2" fillId="0" borderId="0" xfId="0" applyFont="1" applyFill="1" applyAlignment="1">
      <alignment horizontal="right"/>
    </xf>
    <xf numFmtId="0" fontId="2" fillId="0" borderId="0" xfId="0" applyFont="1" applyFill="1"/>
    <xf numFmtId="0" fontId="2" fillId="0" borderId="0" xfId="0" applyFont="1" applyFill="1" applyAlignment="1">
      <alignment horizontal="center"/>
    </xf>
    <xf numFmtId="0" fontId="2" fillId="0" borderId="0" xfId="0" applyFont="1" applyProtection="1"/>
    <xf numFmtId="0" fontId="13" fillId="0" borderId="0" xfId="0" applyFont="1"/>
    <xf numFmtId="0" fontId="4" fillId="0" borderId="0" xfId="0" applyFont="1" applyFill="1" applyAlignment="1">
      <alignment horizontal="right"/>
    </xf>
    <xf numFmtId="0" fontId="4" fillId="0" borderId="0" xfId="0" applyFont="1" applyFill="1"/>
    <xf numFmtId="0" fontId="2" fillId="0" borderId="0" xfId="0" applyFont="1" applyFill="1" applyProtection="1"/>
    <xf numFmtId="0" fontId="2" fillId="0" borderId="0" xfId="0" applyFont="1" applyFill="1" applyAlignment="1"/>
    <xf numFmtId="0" fontId="4" fillId="0" borderId="0" xfId="0" applyFont="1" applyFill="1" applyAlignment="1"/>
    <xf numFmtId="0" fontId="2" fillId="2" borderId="0" xfId="0" applyFont="1" applyFill="1" applyAlignment="1"/>
    <xf numFmtId="0" fontId="2" fillId="0" borderId="0" xfId="0" applyFont="1" applyFill="1" applyAlignment="1">
      <alignment horizontal="left"/>
    </xf>
    <xf numFmtId="0" fontId="2" fillId="3" borderId="0" xfId="0" applyFont="1" applyFill="1" applyAlignment="1" applyProtection="1">
      <alignment horizontal="center"/>
      <protection locked="0"/>
    </xf>
    <xf numFmtId="16" fontId="2" fillId="3" borderId="0" xfId="0" applyNumberFormat="1" applyFont="1" applyFill="1" applyAlignment="1" applyProtection="1">
      <alignment horizontal="center"/>
      <protection locked="0"/>
    </xf>
    <xf numFmtId="0" fontId="2" fillId="2" borderId="0" xfId="0" applyFont="1" applyFill="1" applyAlignment="1" applyProtection="1">
      <alignment horizontal="center"/>
      <protection locked="0"/>
    </xf>
    <xf numFmtId="3" fontId="2" fillId="3" borderId="0" xfId="0" applyNumberFormat="1" applyFont="1" applyFill="1" applyAlignment="1" applyProtection="1">
      <alignment horizontal="center"/>
      <protection locked="0"/>
    </xf>
    <xf numFmtId="0" fontId="2" fillId="9" borderId="0" xfId="0" applyFont="1" applyFill="1" applyAlignment="1" applyProtection="1">
      <alignment horizontal="center"/>
      <protection locked="0"/>
    </xf>
    <xf numFmtId="0" fontId="2" fillId="10" borderId="0" xfId="0" applyFont="1" applyFill="1" applyAlignment="1" applyProtection="1">
      <alignment horizontal="center"/>
      <protection locked="0"/>
    </xf>
    <xf numFmtId="0" fontId="8" fillId="7" borderId="0" xfId="0" applyFont="1" applyFill="1" applyAlignment="1" applyProtection="1">
      <alignment horizontal="center"/>
      <protection locked="0"/>
    </xf>
    <xf numFmtId="0" fontId="9" fillId="7" borderId="0" xfId="0" applyFont="1" applyFill="1" applyAlignment="1" applyProtection="1">
      <alignment horizontal="center"/>
      <protection locked="0"/>
    </xf>
    <xf numFmtId="0" fontId="10" fillId="7" borderId="0" xfId="0" applyFont="1" applyFill="1" applyAlignment="1" applyProtection="1">
      <alignment horizontal="center"/>
      <protection locked="0"/>
    </xf>
    <xf numFmtId="2" fontId="11" fillId="17" borderId="0" xfId="0" applyNumberFormat="1" applyFont="1" applyFill="1" applyAlignment="1" applyProtection="1">
      <alignment horizontal="center"/>
      <protection locked="0"/>
    </xf>
    <xf numFmtId="1" fontId="11" fillId="9" borderId="0" xfId="0" applyNumberFormat="1" applyFont="1" applyFill="1" applyAlignment="1" applyProtection="1">
      <alignment horizontal="center"/>
      <protection locked="0"/>
    </xf>
    <xf numFmtId="37" fontId="11" fillId="9" borderId="0" xfId="2" applyNumberFormat="1" applyFont="1" applyFill="1" applyAlignment="1" applyProtection="1">
      <alignment horizontal="center"/>
      <protection locked="0"/>
    </xf>
    <xf numFmtId="166" fontId="11" fillId="11" borderId="0" xfId="0" applyNumberFormat="1" applyFont="1" applyFill="1" applyAlignment="1" applyProtection="1">
      <alignment horizontal="center"/>
      <protection locked="0"/>
    </xf>
    <xf numFmtId="37" fontId="11" fillId="11" borderId="0" xfId="0" applyNumberFormat="1" applyFont="1" applyFill="1" applyAlignment="1" applyProtection="1">
      <alignment horizontal="center"/>
      <protection locked="0"/>
    </xf>
    <xf numFmtId="1" fontId="11" fillId="2" borderId="0" xfId="0" applyNumberFormat="1" applyFont="1" applyFill="1" applyAlignment="1" applyProtection="1">
      <alignment horizontal="center"/>
      <protection locked="0"/>
    </xf>
    <xf numFmtId="37" fontId="11" fillId="2" borderId="0" xfId="0" applyNumberFormat="1" applyFont="1" applyFill="1" applyAlignment="1" applyProtection="1">
      <alignment horizontal="center"/>
      <protection locked="0"/>
    </xf>
    <xf numFmtId="0" fontId="11" fillId="16" borderId="0" xfId="0" applyFont="1" applyFill="1" applyAlignment="1" applyProtection="1">
      <alignment horizontal="center"/>
      <protection locked="0"/>
    </xf>
    <xf numFmtId="3" fontId="0" fillId="17" borderId="0" xfId="0" applyNumberFormat="1" applyFont="1" applyFill="1" applyProtection="1">
      <protection locked="0"/>
    </xf>
    <xf numFmtId="3" fontId="0" fillId="17" borderId="0" xfId="0" applyNumberFormat="1" applyFont="1" applyFill="1" applyAlignment="1" applyProtection="1">
      <alignment horizontal="center"/>
      <protection locked="0"/>
    </xf>
    <xf numFmtId="14" fontId="2" fillId="0" borderId="0" xfId="0" applyNumberFormat="1" applyFont="1" applyFill="1" applyAlignment="1"/>
    <xf numFmtId="0" fontId="2" fillId="0" borderId="0" xfId="0" applyFont="1" applyFill="1" applyAlignment="1">
      <alignment vertical="center"/>
    </xf>
    <xf numFmtId="16" fontId="2" fillId="0" borderId="0" xfId="0" applyNumberFormat="1" applyFont="1" applyFill="1" applyAlignment="1">
      <alignment horizontal="center"/>
    </xf>
    <xf numFmtId="0" fontId="2" fillId="0" borderId="0" xfId="0" applyFont="1" applyFill="1" applyAlignment="1">
      <alignment vertical="top"/>
    </xf>
    <xf numFmtId="0" fontId="2" fillId="0" borderId="0" xfId="0" applyFont="1" applyFill="1" applyAlignment="1">
      <alignment vertical="top" wrapText="1"/>
    </xf>
    <xf numFmtId="2" fontId="2" fillId="0" borderId="0" xfId="0" applyNumberFormat="1" applyFont="1" applyFill="1" applyAlignment="1" applyProtection="1">
      <alignment horizontal="center"/>
    </xf>
    <xf numFmtId="2" fontId="2" fillId="0" borderId="0" xfId="0" applyNumberFormat="1" applyFont="1" applyFill="1" applyBorder="1" applyAlignment="1" applyProtection="1">
      <alignment horizontal="center"/>
    </xf>
    <xf numFmtId="2" fontId="2" fillId="0" borderId="2" xfId="0" applyNumberFormat="1" applyFont="1" applyFill="1" applyBorder="1" applyAlignment="1" applyProtection="1">
      <alignment horizontal="center"/>
    </xf>
    <xf numFmtId="3" fontId="2" fillId="20" borderId="0" xfId="0" applyNumberFormat="1" applyFont="1" applyFill="1" applyAlignment="1" applyProtection="1">
      <alignment horizontal="center"/>
      <protection locked="0"/>
    </xf>
    <xf numFmtId="3" fontId="2" fillId="20" borderId="0" xfId="0" applyNumberFormat="1" applyFont="1" applyFill="1" applyBorder="1" applyAlignment="1" applyProtection="1">
      <alignment horizontal="center"/>
      <protection locked="0"/>
    </xf>
    <xf numFmtId="3" fontId="2" fillId="20" borderId="2" xfId="0" applyNumberFormat="1" applyFont="1" applyFill="1" applyBorder="1" applyAlignment="1" applyProtection="1">
      <alignment horizontal="center"/>
      <protection locked="0"/>
    </xf>
    <xf numFmtId="2" fontId="2" fillId="20" borderId="0" xfId="0" applyNumberFormat="1" applyFont="1" applyFill="1" applyBorder="1" applyAlignment="1" applyProtection="1">
      <alignment horizontal="center"/>
      <protection locked="0"/>
    </xf>
    <xf numFmtId="2" fontId="2" fillId="20" borderId="0" xfId="0" applyNumberFormat="1" applyFont="1" applyFill="1" applyAlignment="1" applyProtection="1">
      <alignment horizontal="center"/>
      <protection locked="0"/>
    </xf>
    <xf numFmtId="0" fontId="13" fillId="0" borderId="0" xfId="0" applyFont="1" applyAlignment="1" applyProtection="1"/>
    <xf numFmtId="14" fontId="2" fillId="0" borderId="0" xfId="0" applyNumberFormat="1" applyFont="1" applyAlignment="1" applyProtection="1">
      <alignment horizontal="left"/>
    </xf>
    <xf numFmtId="0" fontId="16" fillId="0" borderId="1" xfId="0" applyFont="1" applyBorder="1" applyProtection="1"/>
    <xf numFmtId="0" fontId="16" fillId="0" borderId="0" xfId="0" applyFont="1" applyProtection="1"/>
    <xf numFmtId="0" fontId="16" fillId="0" borderId="0" xfId="0" applyFont="1" applyAlignment="1" applyProtection="1">
      <alignment horizontal="center"/>
    </xf>
    <xf numFmtId="0" fontId="18" fillId="0" borderId="0" xfId="0" applyFont="1" applyAlignment="1" applyProtection="1">
      <alignment horizontal="right"/>
    </xf>
    <xf numFmtId="3" fontId="2" fillId="0" borderId="0" xfId="0" applyNumberFormat="1" applyFont="1" applyProtection="1"/>
    <xf numFmtId="0" fontId="4" fillId="3" borderId="0" xfId="0" applyFont="1" applyFill="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2" fillId="0" borderId="7" xfId="0" applyFont="1" applyBorder="1" applyProtection="1"/>
    <xf numFmtId="0" fontId="4" fillId="0" borderId="0" xfId="0" applyFont="1" applyProtection="1"/>
    <xf numFmtId="0" fontId="4" fillId="0" borderId="0" xfId="0" applyFont="1" applyAlignment="1" applyProtection="1">
      <alignment horizontal="center"/>
    </xf>
    <xf numFmtId="0" fontId="4" fillId="0" borderId="0" xfId="0" applyFont="1" applyFill="1" applyProtection="1"/>
    <xf numFmtId="0" fontId="4" fillId="2" borderId="0" xfId="0" applyFont="1" applyFill="1" applyProtection="1"/>
    <xf numFmtId="0" fontId="2" fillId="2" borderId="0" xfId="0" applyFont="1" applyFill="1" applyProtection="1"/>
    <xf numFmtId="3" fontId="4" fillId="2" borderId="0" xfId="0" applyNumberFormat="1" applyFont="1" applyFill="1" applyProtection="1"/>
    <xf numFmtId="0" fontId="2" fillId="0" borderId="1" xfId="0" applyFont="1" applyBorder="1" applyAlignment="1" applyProtection="1">
      <alignment horizontal="center"/>
    </xf>
    <xf numFmtId="2" fontId="2" fillId="0" borderId="0" xfId="0" applyNumberFormat="1" applyFont="1" applyAlignment="1" applyProtection="1">
      <alignment horizontal="center"/>
    </xf>
    <xf numFmtId="2" fontId="2" fillId="0" borderId="0" xfId="0" applyNumberFormat="1" applyFont="1" applyBorder="1" applyAlignment="1" applyProtection="1">
      <alignment horizontal="center"/>
    </xf>
    <xf numFmtId="3" fontId="2" fillId="0" borderId="0" xfId="0" applyNumberFormat="1" applyFont="1" applyBorder="1" applyAlignment="1" applyProtection="1">
      <alignment horizontal="center"/>
    </xf>
    <xf numFmtId="0" fontId="2" fillId="11" borderId="0" xfId="0" applyFont="1" applyFill="1" applyBorder="1" applyAlignment="1" applyProtection="1">
      <alignment horizontal="center"/>
    </xf>
    <xf numFmtId="2" fontId="2" fillId="0" borderId="2" xfId="0" applyNumberFormat="1" applyFont="1" applyBorder="1" applyAlignment="1" applyProtection="1">
      <alignment horizontal="center"/>
    </xf>
    <xf numFmtId="3" fontId="2" fillId="0" borderId="2" xfId="0" applyNumberFormat="1" applyFont="1" applyBorder="1" applyAlignment="1" applyProtection="1">
      <alignment horizontal="center"/>
    </xf>
    <xf numFmtId="0" fontId="6" fillId="0" borderId="0" xfId="0" applyFont="1" applyAlignment="1" applyProtection="1">
      <alignment horizontal="left"/>
    </xf>
    <xf numFmtId="0" fontId="4" fillId="9" borderId="0" xfId="0" applyFont="1" applyFill="1" applyProtection="1"/>
    <xf numFmtId="0" fontId="2" fillId="9" borderId="0" xfId="0" applyFont="1" applyFill="1" applyProtection="1"/>
    <xf numFmtId="3" fontId="2" fillId="0" borderId="0" xfId="0" applyNumberFormat="1" applyFont="1" applyAlignment="1" applyProtection="1">
      <alignment horizontal="center"/>
    </xf>
    <xf numFmtId="0" fontId="2" fillId="2" borderId="0" xfId="0" applyFont="1" applyFill="1" applyAlignment="1" applyProtection="1">
      <alignment horizontal="right"/>
    </xf>
    <xf numFmtId="167" fontId="2" fillId="2" borderId="0" xfId="0" applyNumberFormat="1" applyFont="1" applyFill="1" applyAlignment="1" applyProtection="1">
      <alignment horizontal="center"/>
    </xf>
    <xf numFmtId="3" fontId="2" fillId="2" borderId="0" xfId="0" applyNumberFormat="1" applyFont="1" applyFill="1" applyAlignment="1" applyProtection="1">
      <alignment horizontal="center"/>
    </xf>
    <xf numFmtId="0" fontId="2" fillId="9" borderId="0" xfId="0" applyFont="1" applyFill="1" applyAlignment="1" applyProtection="1">
      <alignment horizontal="right"/>
    </xf>
    <xf numFmtId="167" fontId="2" fillId="9" borderId="0" xfId="0" applyNumberFormat="1" applyFont="1" applyFill="1" applyAlignment="1" applyProtection="1">
      <alignment horizontal="center"/>
    </xf>
    <xf numFmtId="3" fontId="2" fillId="9" borderId="0" xfId="0" applyNumberFormat="1" applyFont="1" applyFill="1" applyAlignment="1" applyProtection="1">
      <alignment horizontal="center"/>
    </xf>
    <xf numFmtId="0" fontId="2" fillId="0" borderId="0" xfId="0" applyFont="1" applyAlignment="1" applyProtection="1">
      <alignment horizontal="right"/>
    </xf>
    <xf numFmtId="167" fontId="2" fillId="0" borderId="0" xfId="0" applyNumberFormat="1" applyFont="1" applyAlignment="1" applyProtection="1">
      <alignment horizontal="center"/>
    </xf>
    <xf numFmtId="164" fontId="2" fillId="0" borderId="0" xfId="1" applyNumberFormat="1" applyFont="1" applyAlignment="1" applyProtection="1">
      <alignment horizontal="center"/>
    </xf>
    <xf numFmtId="164" fontId="2" fillId="0" borderId="0" xfId="0" applyNumberFormat="1" applyFont="1" applyAlignment="1" applyProtection="1">
      <alignment horizontal="center"/>
    </xf>
    <xf numFmtId="0" fontId="2" fillId="20" borderId="0" xfId="0" applyFont="1" applyFill="1" applyBorder="1" applyAlignment="1" applyProtection="1">
      <alignment horizontal="center"/>
      <protection locked="0"/>
    </xf>
    <xf numFmtId="0" fontId="2" fillId="20" borderId="0" xfId="0" applyFont="1" applyFill="1" applyAlignment="1" applyProtection="1">
      <alignment horizontal="center"/>
      <protection locked="0"/>
    </xf>
    <xf numFmtId="0" fontId="2" fillId="20" borderId="0" xfId="0" applyFont="1" applyFill="1" applyProtection="1">
      <protection locked="0"/>
    </xf>
    <xf numFmtId="168" fontId="2" fillId="0" borderId="0" xfId="2" applyNumberFormat="1" applyFont="1" applyBorder="1" applyAlignment="1" applyProtection="1">
      <alignment horizontal="right"/>
      <protection locked="0"/>
    </xf>
    <xf numFmtId="168" fontId="2" fillId="0" borderId="1" xfId="2" applyNumberFormat="1" applyFont="1" applyBorder="1" applyAlignment="1" applyProtection="1">
      <alignment horizontal="right"/>
      <protection locked="0"/>
    </xf>
    <xf numFmtId="3" fontId="2" fillId="11" borderId="0" xfId="0" applyNumberFormat="1" applyFont="1" applyFill="1" applyBorder="1" applyAlignment="1" applyProtection="1">
      <alignment horizontal="center"/>
    </xf>
    <xf numFmtId="3" fontId="2" fillId="4" borderId="0" xfId="0" applyNumberFormat="1" applyFont="1" applyFill="1" applyBorder="1" applyAlignment="1" applyProtection="1">
      <alignment horizontal="center"/>
    </xf>
    <xf numFmtId="3" fontId="2" fillId="12" borderId="0" xfId="0" applyNumberFormat="1" applyFont="1" applyFill="1" applyBorder="1" applyAlignment="1" applyProtection="1">
      <alignment horizontal="center"/>
    </xf>
    <xf numFmtId="3" fontId="2" fillId="12" borderId="2" xfId="0" applyNumberFormat="1" applyFont="1" applyFill="1" applyBorder="1" applyAlignment="1" applyProtection="1">
      <alignment horizontal="center"/>
    </xf>
    <xf numFmtId="0" fontId="2" fillId="0" borderId="9" xfId="0" applyFont="1" applyBorder="1" applyProtection="1"/>
    <xf numFmtId="0" fontId="2" fillId="0" borderId="10" xfId="0" applyFont="1" applyBorder="1" applyProtection="1"/>
    <xf numFmtId="166" fontId="11" fillId="20" borderId="0" xfId="0" applyNumberFormat="1" applyFont="1" applyFill="1" applyAlignment="1" applyProtection="1">
      <alignment horizontal="center"/>
      <protection locked="0"/>
    </xf>
    <xf numFmtId="39" fontId="11" fillId="20" borderId="0" xfId="0" applyNumberFormat="1" applyFont="1" applyFill="1" applyAlignment="1" applyProtection="1">
      <alignment horizontal="center"/>
      <protection locked="0"/>
    </xf>
    <xf numFmtId="3" fontId="11" fillId="20" borderId="0" xfId="0" applyNumberFormat="1" applyFont="1" applyFill="1" applyAlignment="1" applyProtection="1">
      <alignment horizontal="center"/>
      <protection locked="0"/>
    </xf>
    <xf numFmtId="0" fontId="11" fillId="20" borderId="0" xfId="0" applyFont="1" applyFill="1" applyAlignment="1" applyProtection="1">
      <alignment horizontal="center"/>
      <protection locked="0"/>
    </xf>
    <xf numFmtId="1" fontId="11" fillId="20" borderId="0" xfId="0" applyNumberFormat="1" applyFont="1" applyFill="1" applyAlignment="1" applyProtection="1">
      <alignment horizontal="center"/>
      <protection locked="0"/>
    </xf>
    <xf numFmtId="0" fontId="11" fillId="0" borderId="0" xfId="0" applyFont="1" applyProtection="1"/>
    <xf numFmtId="14" fontId="11" fillId="0" borderId="0" xfId="0" applyNumberFormat="1" applyFont="1" applyAlignment="1" applyProtection="1">
      <alignment horizontal="left"/>
    </xf>
    <xf numFmtId="0" fontId="15" fillId="0" borderId="1" xfId="0" applyFont="1" applyBorder="1" applyProtection="1"/>
    <xf numFmtId="0" fontId="11" fillId="0" borderId="1" xfId="0" applyFont="1" applyBorder="1" applyProtection="1"/>
    <xf numFmtId="0" fontId="11" fillId="0" borderId="0" xfId="0" applyFont="1" applyAlignment="1" applyProtection="1">
      <alignment horizontal="center"/>
    </xf>
    <xf numFmtId="0" fontId="12" fillId="13" borderId="0" xfId="0" applyFont="1" applyFill="1" applyProtection="1"/>
    <xf numFmtId="0" fontId="11" fillId="0" borderId="0" xfId="0" applyFont="1" applyFill="1" applyProtection="1"/>
    <xf numFmtId="2" fontId="11" fillId="0" borderId="0" xfId="0" applyNumberFormat="1" applyFont="1" applyFill="1" applyAlignment="1" applyProtection="1">
      <alignment horizontal="center"/>
    </xf>
    <xf numFmtId="166" fontId="11" fillId="0" borderId="0" xfId="0" applyNumberFormat="1" applyFont="1" applyFill="1" applyAlignment="1" applyProtection="1">
      <alignment horizontal="center"/>
    </xf>
    <xf numFmtId="37" fontId="11" fillId="0" borderId="0" xfId="0" applyNumberFormat="1" applyFont="1" applyFill="1" applyAlignment="1" applyProtection="1">
      <alignment horizontal="center"/>
    </xf>
    <xf numFmtId="1" fontId="11" fillId="0" borderId="0" xfId="0" applyNumberFormat="1" applyFont="1" applyFill="1" applyAlignment="1" applyProtection="1">
      <alignment horizontal="center" wrapText="1"/>
    </xf>
    <xf numFmtId="37" fontId="11" fillId="0" borderId="0" xfId="0" applyNumberFormat="1" applyFont="1" applyFill="1" applyAlignment="1" applyProtection="1">
      <alignment horizontal="center" wrapText="1"/>
    </xf>
    <xf numFmtId="1" fontId="11" fillId="0" borderId="0" xfId="0" applyNumberFormat="1" applyFont="1" applyFill="1" applyAlignment="1" applyProtection="1">
      <alignment horizontal="center"/>
    </xf>
    <xf numFmtId="37" fontId="11" fillId="0" borderId="0" xfId="2" applyNumberFormat="1" applyFont="1" applyFill="1" applyAlignment="1" applyProtection="1">
      <alignment horizontal="center"/>
    </xf>
    <xf numFmtId="0" fontId="11" fillId="0" borderId="1" xfId="0" applyFont="1" applyBorder="1" applyAlignment="1" applyProtection="1">
      <alignment horizontal="center"/>
    </xf>
    <xf numFmtId="2" fontId="11" fillId="0" borderId="1" xfId="0" applyNumberFormat="1" applyFont="1" applyFill="1" applyBorder="1" applyAlignment="1" applyProtection="1">
      <alignment horizontal="center"/>
    </xf>
    <xf numFmtId="166" fontId="11" fillId="0" borderId="1" xfId="0" applyNumberFormat="1" applyFont="1" applyFill="1" applyBorder="1" applyAlignment="1" applyProtection="1">
      <alignment horizontal="center"/>
    </xf>
    <xf numFmtId="37" fontId="11" fillId="0" borderId="1" xfId="0" applyNumberFormat="1" applyFont="1" applyFill="1" applyBorder="1" applyAlignment="1" applyProtection="1">
      <alignment horizontal="center"/>
    </xf>
    <xf numFmtId="1" fontId="11" fillId="0" borderId="1" xfId="0" applyNumberFormat="1" applyFont="1" applyFill="1" applyBorder="1" applyAlignment="1" applyProtection="1">
      <alignment horizontal="center"/>
    </xf>
    <xf numFmtId="39" fontId="11" fillId="0" borderId="0" xfId="0" applyNumberFormat="1" applyFont="1" applyFill="1" applyAlignment="1" applyProtection="1">
      <alignment horizontal="center"/>
    </xf>
    <xf numFmtId="0" fontId="11" fillId="0" borderId="0" xfId="0" applyFont="1" applyAlignment="1" applyProtection="1">
      <alignment horizontal="right"/>
    </xf>
    <xf numFmtId="1" fontId="11" fillId="0" borderId="0" xfId="0" applyNumberFormat="1" applyFont="1" applyAlignment="1" applyProtection="1">
      <alignment horizontal="center"/>
    </xf>
    <xf numFmtId="0" fontId="11" fillId="0" borderId="0" xfId="0" applyFont="1" applyAlignment="1" applyProtection="1">
      <alignment horizontal="center" wrapText="1"/>
    </xf>
    <xf numFmtId="166" fontId="11" fillId="0" borderId="0" xfId="0" applyNumberFormat="1" applyFont="1" applyAlignment="1" applyProtection="1">
      <alignment horizontal="center" wrapText="1"/>
    </xf>
    <xf numFmtId="164" fontId="11" fillId="0" borderId="0" xfId="0" applyNumberFormat="1" applyFont="1" applyAlignment="1" applyProtection="1">
      <alignment horizontal="center"/>
    </xf>
    <xf numFmtId="164" fontId="11" fillId="0" borderId="0" xfId="1" applyNumberFormat="1" applyFont="1" applyAlignment="1" applyProtection="1">
      <alignment horizontal="center"/>
    </xf>
    <xf numFmtId="3" fontId="11" fillId="0" borderId="0" xfId="0" applyNumberFormat="1" applyFont="1" applyAlignment="1" applyProtection="1">
      <alignment horizontal="center"/>
    </xf>
    <xf numFmtId="2" fontId="11" fillId="0" borderId="0" xfId="0" applyNumberFormat="1" applyFont="1" applyAlignment="1" applyProtection="1">
      <alignment horizontal="center"/>
    </xf>
    <xf numFmtId="166" fontId="11" fillId="0" borderId="0" xfId="0" applyNumberFormat="1" applyFont="1" applyAlignment="1" applyProtection="1">
      <alignment horizontal="center"/>
    </xf>
    <xf numFmtId="165" fontId="11" fillId="0" borderId="0" xfId="0" applyNumberFormat="1" applyFont="1" applyAlignment="1" applyProtection="1">
      <alignment horizontal="center"/>
    </xf>
    <xf numFmtId="37" fontId="11" fillId="0" borderId="0" xfId="0" applyNumberFormat="1" applyFont="1" applyAlignment="1" applyProtection="1">
      <alignment horizontal="center"/>
    </xf>
    <xf numFmtId="166" fontId="11" fillId="0" borderId="0" xfId="0" applyNumberFormat="1" applyFont="1" applyProtection="1"/>
    <xf numFmtId="168" fontId="0" fillId="0" borderId="3" xfId="2" applyNumberFormat="1" applyFont="1" applyBorder="1" applyAlignment="1" applyProtection="1">
      <alignment horizontal="center"/>
      <protection locked="0"/>
    </xf>
    <xf numFmtId="168" fontId="11" fillId="0" borderId="12" xfId="2" applyNumberFormat="1" applyFont="1" applyBorder="1" applyAlignment="1" applyProtection="1">
      <alignment horizontal="center"/>
      <protection locked="0"/>
    </xf>
    <xf numFmtId="168" fontId="11" fillId="0" borderId="13" xfId="2" applyNumberFormat="1" applyFont="1" applyBorder="1" applyAlignment="1" applyProtection="1">
      <alignment horizontal="center"/>
      <protection locked="0"/>
    </xf>
    <xf numFmtId="168" fontId="2" fillId="0" borderId="8" xfId="2" applyNumberFormat="1" applyFont="1" applyBorder="1" applyProtection="1">
      <protection locked="0"/>
    </xf>
    <xf numFmtId="168" fontId="2" fillId="0" borderId="3" xfId="2" applyNumberFormat="1" applyFont="1" applyBorder="1" applyProtection="1">
      <protection locked="0"/>
    </xf>
    <xf numFmtId="168" fontId="2" fillId="0" borderId="12" xfId="2" applyNumberFormat="1" applyFont="1" applyBorder="1" applyProtection="1">
      <protection locked="0"/>
    </xf>
    <xf numFmtId="168" fontId="2" fillId="0" borderId="13" xfId="2" applyNumberFormat="1" applyFont="1" applyBorder="1" applyProtection="1">
      <protection locked="0"/>
    </xf>
    <xf numFmtId="0" fontId="2" fillId="0" borderId="3" xfId="0" applyFont="1" applyBorder="1" applyAlignment="1" applyProtection="1">
      <alignment horizontal="center"/>
      <protection locked="0"/>
    </xf>
    <xf numFmtId="0" fontId="2" fillId="0" borderId="0" xfId="0" applyFont="1" applyAlignment="1" applyProtection="1">
      <alignment horizontal="center"/>
    </xf>
    <xf numFmtId="0" fontId="13" fillId="0" borderId="0" xfId="0" applyFont="1" applyAlignment="1" applyProtection="1">
      <alignment horizontal="center"/>
    </xf>
    <xf numFmtId="0" fontId="2" fillId="0" borderId="0" xfId="0" applyFont="1" applyAlignment="1" applyProtection="1">
      <alignment horizontal="left"/>
    </xf>
    <xf numFmtId="2" fontId="4" fillId="20" borderId="0" xfId="0" applyNumberFormat="1" applyFont="1" applyFill="1" applyProtection="1">
      <protection locked="0"/>
    </xf>
    <xf numFmtId="0" fontId="13" fillId="0" borderId="0" xfId="0" applyFont="1" applyProtection="1"/>
    <xf numFmtId="0" fontId="4" fillId="0" borderId="0" xfId="0" applyFont="1" applyAlignment="1" applyProtection="1">
      <alignment horizontal="right"/>
    </xf>
    <xf numFmtId="0" fontId="2" fillId="0" borderId="0" xfId="0" applyFont="1" applyFill="1" applyAlignment="1" applyProtection="1">
      <alignment horizontal="right"/>
    </xf>
    <xf numFmtId="0" fontId="4" fillId="0" borderId="0" xfId="0" applyFont="1" applyFill="1" applyAlignment="1" applyProtection="1">
      <alignment horizontal="right"/>
    </xf>
    <xf numFmtId="0" fontId="2" fillId="0" borderId="0" xfId="0" applyFont="1" applyFill="1" applyAlignment="1" applyProtection="1">
      <alignment horizontal="left"/>
    </xf>
    <xf numFmtId="0" fontId="2" fillId="0" borderId="0" xfId="0" applyFont="1" applyFill="1" applyAlignment="1" applyProtection="1">
      <alignment horizontal="center"/>
    </xf>
    <xf numFmtId="0" fontId="4" fillId="4" borderId="0" xfId="0" applyFont="1" applyFill="1" applyProtection="1"/>
    <xf numFmtId="0" fontId="2" fillId="4" borderId="0" xfId="0" applyFont="1" applyFill="1" applyProtection="1"/>
    <xf numFmtId="0" fontId="2" fillId="0" borderId="0" xfId="0" applyFont="1" applyAlignment="1" applyProtection="1">
      <alignment vertical="center"/>
    </xf>
    <xf numFmtId="0" fontId="2" fillId="0" borderId="3" xfId="0" applyFont="1" applyBorder="1" applyAlignment="1" applyProtection="1">
      <alignment horizontal="center"/>
    </xf>
    <xf numFmtId="0" fontId="18" fillId="0" borderId="0" xfId="0" applyFont="1" applyAlignment="1" applyProtection="1">
      <alignment horizontal="center"/>
    </xf>
    <xf numFmtId="0" fontId="4" fillId="5" borderId="0" xfId="0" applyFont="1" applyFill="1" applyProtection="1"/>
    <xf numFmtId="0" fontId="2" fillId="5" borderId="0" xfId="0" applyFont="1" applyFill="1" applyProtection="1"/>
    <xf numFmtId="0" fontId="2" fillId="2" borderId="0" xfId="0" applyFont="1" applyFill="1" applyAlignment="1" applyProtection="1">
      <alignment horizontal="center"/>
    </xf>
    <xf numFmtId="0" fontId="2" fillId="2" borderId="0" xfId="0" applyFont="1" applyFill="1" applyAlignment="1" applyProtection="1"/>
    <xf numFmtId="14" fontId="2" fillId="0" borderId="0" xfId="0" applyNumberFormat="1" applyFont="1" applyFill="1" applyAlignment="1" applyProtection="1">
      <alignment horizontal="left"/>
    </xf>
    <xf numFmtId="0" fontId="4" fillId="10" borderId="0" xfId="0" applyFont="1" applyFill="1" applyAlignment="1" applyProtection="1"/>
    <xf numFmtId="0" fontId="2" fillId="0" borderId="0" xfId="0" applyFont="1" applyFill="1" applyAlignment="1" applyProtection="1"/>
    <xf numFmtId="0" fontId="4" fillId="4" borderId="0" xfId="0" applyFont="1" applyFill="1" applyAlignment="1" applyProtection="1"/>
    <xf numFmtId="0" fontId="2" fillId="4" borderId="0" xfId="0" applyFont="1" applyFill="1" applyAlignment="1" applyProtection="1"/>
    <xf numFmtId="0" fontId="2" fillId="0" borderId="3" xfId="0" applyFont="1" applyBorder="1" applyProtection="1"/>
    <xf numFmtId="0" fontId="4" fillId="0" borderId="0" xfId="0" applyFont="1" applyFill="1" applyAlignment="1" applyProtection="1"/>
    <xf numFmtId="3" fontId="2" fillId="0" borderId="0" xfId="0" applyNumberFormat="1" applyFont="1" applyFill="1" applyAlignment="1" applyProtection="1"/>
    <xf numFmtId="0" fontId="7" fillId="0" borderId="0" xfId="0" applyFont="1" applyFill="1" applyAlignment="1" applyProtection="1"/>
    <xf numFmtId="0" fontId="14" fillId="0" borderId="0" xfId="0" applyFont="1" applyFill="1" applyAlignment="1" applyProtection="1"/>
    <xf numFmtId="3" fontId="14" fillId="0" borderId="0" xfId="0" applyNumberFormat="1" applyFont="1" applyFill="1" applyAlignment="1" applyProtection="1"/>
    <xf numFmtId="0" fontId="14" fillId="0" borderId="0" xfId="0" applyFont="1" applyProtection="1"/>
    <xf numFmtId="0" fontId="14" fillId="0" borderId="0" xfId="0" applyFont="1" applyAlignment="1" applyProtection="1">
      <alignment horizontal="center"/>
    </xf>
    <xf numFmtId="0" fontId="4" fillId="0" borderId="1" xfId="0" applyFont="1" applyFill="1" applyBorder="1" applyAlignment="1" applyProtection="1"/>
    <xf numFmtId="0" fontId="4" fillId="0" borderId="1" xfId="0" applyFont="1" applyFill="1" applyBorder="1" applyAlignment="1" applyProtection="1">
      <alignment horizontal="center"/>
    </xf>
    <xf numFmtId="166" fontId="2" fillId="0" borderId="0" xfId="0" applyNumberFormat="1" applyFont="1" applyFill="1" applyAlignment="1" applyProtection="1">
      <alignment horizontal="center"/>
    </xf>
    <xf numFmtId="0" fontId="2" fillId="0" borderId="1" xfId="0" applyFont="1" applyFill="1" applyBorder="1" applyAlignment="1" applyProtection="1"/>
    <xf numFmtId="0" fontId="2" fillId="0" borderId="1" xfId="0" applyFont="1" applyBorder="1" applyProtection="1"/>
    <xf numFmtId="2" fontId="4" fillId="0" borderId="1" xfId="0" applyNumberFormat="1" applyFont="1" applyFill="1" applyBorder="1" applyAlignment="1" applyProtection="1">
      <alignment horizontal="center"/>
    </xf>
    <xf numFmtId="39" fontId="2" fillId="0" borderId="0" xfId="0" applyNumberFormat="1" applyFont="1" applyFill="1" applyAlignment="1" applyProtection="1">
      <alignment horizontal="center"/>
    </xf>
    <xf numFmtId="0" fontId="4" fillId="5" borderId="0" xfId="0" applyFont="1" applyFill="1" applyAlignment="1" applyProtection="1"/>
    <xf numFmtId="0" fontId="2" fillId="5" borderId="0" xfId="0" applyFont="1" applyFill="1" applyAlignment="1" applyProtection="1"/>
    <xf numFmtId="164" fontId="2" fillId="0" borderId="0" xfId="1" applyNumberFormat="1" applyFont="1" applyFill="1" applyAlignment="1" applyProtection="1">
      <alignment horizontal="center"/>
    </xf>
    <xf numFmtId="166" fontId="2" fillId="0" borderId="0" xfId="0" applyNumberFormat="1" applyFont="1" applyAlignment="1" applyProtection="1">
      <alignment horizontal="center"/>
    </xf>
    <xf numFmtId="0" fontId="4" fillId="15" borderId="0" xfId="0" applyFont="1" applyFill="1" applyAlignment="1" applyProtection="1"/>
    <xf numFmtId="0" fontId="2" fillId="9" borderId="0" xfId="0" applyFont="1" applyFill="1" applyAlignment="1" applyProtection="1">
      <alignment horizontal="center"/>
    </xf>
    <xf numFmtId="0" fontId="4" fillId="8" borderId="0" xfId="0" applyFont="1" applyFill="1" applyAlignment="1" applyProtection="1"/>
    <xf numFmtId="0" fontId="4" fillId="0" borderId="0" xfId="0" applyFont="1" applyAlignment="1" applyProtection="1">
      <alignment horizontal="center" wrapText="1"/>
    </xf>
    <xf numFmtId="0" fontId="5" fillId="0" borderId="0" xfId="0" applyFont="1" applyProtection="1"/>
    <xf numFmtId="0" fontId="4" fillId="12" borderId="0" xfId="0" applyFont="1" applyFill="1" applyProtection="1"/>
    <xf numFmtId="0" fontId="2" fillId="12" borderId="0" xfId="0" applyFont="1" applyFill="1" applyProtection="1"/>
    <xf numFmtId="0" fontId="4" fillId="0" borderId="1" xfId="0" applyFont="1" applyBorder="1" applyProtection="1"/>
    <xf numFmtId="0" fontId="4" fillId="0" borderId="1" xfId="0" applyFont="1" applyBorder="1" applyAlignment="1" applyProtection="1">
      <alignment horizontal="center"/>
    </xf>
    <xf numFmtId="0" fontId="2" fillId="11" borderId="0" xfId="0" applyFont="1" applyFill="1" applyAlignment="1" applyProtection="1">
      <alignment horizontal="center"/>
    </xf>
    <xf numFmtId="165" fontId="2" fillId="0" borderId="0" xfId="0" applyNumberFormat="1" applyFont="1" applyBorder="1" applyAlignment="1" applyProtection="1">
      <alignment horizontal="right"/>
    </xf>
    <xf numFmtId="3" fontId="2" fillId="0" borderId="0" xfId="0" applyNumberFormat="1" applyFont="1" applyBorder="1" applyAlignment="1" applyProtection="1">
      <alignment horizontal="right"/>
    </xf>
    <xf numFmtId="0" fontId="4" fillId="14" borderId="0" xfId="0" applyFont="1" applyFill="1" applyProtection="1"/>
    <xf numFmtId="0" fontId="2" fillId="14" borderId="0" xfId="0" applyFont="1" applyFill="1" applyProtection="1"/>
    <xf numFmtId="0" fontId="2" fillId="0" borderId="8" xfId="0" applyFont="1" applyBorder="1" applyProtection="1"/>
    <xf numFmtId="165" fontId="2" fillId="2" borderId="0" xfId="0" applyNumberFormat="1" applyFont="1" applyFill="1" applyBorder="1" applyAlignment="1" applyProtection="1">
      <alignment horizontal="center"/>
    </xf>
    <xf numFmtId="164" fontId="2" fillId="2" borderId="0" xfId="1" applyNumberFormat="1" applyFont="1" applyFill="1" applyAlignment="1" applyProtection="1">
      <alignment horizontal="center"/>
    </xf>
    <xf numFmtId="3" fontId="2" fillId="2" borderId="0" xfId="0" applyNumberFormat="1" applyFont="1" applyFill="1" applyBorder="1" applyAlignment="1" applyProtection="1">
      <alignment horizontal="center"/>
    </xf>
    <xf numFmtId="165" fontId="2" fillId="2" borderId="0" xfId="0" applyNumberFormat="1" applyFont="1" applyFill="1" applyAlignment="1" applyProtection="1">
      <alignment horizontal="center"/>
    </xf>
    <xf numFmtId="0" fontId="4" fillId="6" borderId="0" xfId="0" applyFont="1" applyFill="1" applyProtection="1"/>
    <xf numFmtId="0" fontId="2" fillId="6" borderId="0" xfId="0" applyFont="1" applyFill="1" applyProtection="1"/>
    <xf numFmtId="165" fontId="2" fillId="9" borderId="0" xfId="0" applyNumberFormat="1" applyFont="1" applyFill="1" applyBorder="1" applyAlignment="1" applyProtection="1">
      <alignment horizontal="center"/>
    </xf>
    <xf numFmtId="164" fontId="2" fillId="9" borderId="0" xfId="1" applyNumberFormat="1" applyFont="1" applyFill="1" applyAlignment="1" applyProtection="1">
      <alignment horizontal="center"/>
    </xf>
    <xf numFmtId="3" fontId="2" fillId="9" borderId="0" xfId="0" applyNumberFormat="1" applyFont="1" applyFill="1" applyBorder="1" applyAlignment="1" applyProtection="1">
      <alignment horizontal="center"/>
    </xf>
    <xf numFmtId="165" fontId="2" fillId="9" borderId="0" xfId="0" applyNumberFormat="1" applyFont="1" applyFill="1" applyAlignment="1" applyProtection="1">
      <alignment horizontal="center"/>
    </xf>
    <xf numFmtId="0" fontId="7" fillId="0" borderId="0" xfId="0" applyFont="1" applyProtection="1"/>
    <xf numFmtId="0" fontId="15" fillId="0" borderId="0" xfId="0" applyFont="1" applyProtection="1"/>
    <xf numFmtId="0" fontId="12" fillId="8" borderId="0" xfId="0" applyFont="1" applyFill="1" applyProtection="1"/>
    <xf numFmtId="165" fontId="11" fillId="0" borderId="0" xfId="0" applyNumberFormat="1" applyFont="1" applyBorder="1" applyAlignment="1" applyProtection="1">
      <alignment horizontal="right"/>
    </xf>
    <xf numFmtId="3" fontId="11" fillId="0" borderId="0" xfId="0" applyNumberFormat="1" applyFont="1" applyBorder="1" applyAlignment="1" applyProtection="1">
      <alignment horizontal="right"/>
    </xf>
    <xf numFmtId="165" fontId="11" fillId="0" borderId="0" xfId="0" applyNumberFormat="1" applyFont="1" applyProtection="1"/>
    <xf numFmtId="0" fontId="12" fillId="0" borderId="0" xfId="0" applyFont="1" applyFill="1" applyProtection="1"/>
    <xf numFmtId="0" fontId="12" fillId="0" borderId="0" xfId="0" applyFont="1" applyFill="1" applyAlignment="1" applyProtection="1">
      <alignment horizontal="center"/>
    </xf>
    <xf numFmtId="0" fontId="12" fillId="0" borderId="1" xfId="0" applyFont="1" applyBorder="1" applyProtection="1"/>
    <xf numFmtId="0" fontId="11" fillId="0" borderId="1" xfId="0" applyFont="1" applyFill="1" applyBorder="1" applyAlignment="1" applyProtection="1">
      <alignment horizontal="center"/>
    </xf>
    <xf numFmtId="0" fontId="11" fillId="18" borderId="0" xfId="0" applyFont="1" applyFill="1" applyAlignment="1" applyProtection="1">
      <alignment horizontal="center"/>
    </xf>
    <xf numFmtId="37" fontId="11" fillId="18" borderId="0" xfId="0" applyNumberFormat="1" applyFont="1" applyFill="1" applyAlignment="1" applyProtection="1">
      <alignment horizontal="center"/>
    </xf>
    <xf numFmtId="0" fontId="11" fillId="19" borderId="0" xfId="0" applyFont="1" applyFill="1" applyAlignment="1" applyProtection="1">
      <alignment horizontal="center"/>
    </xf>
    <xf numFmtId="37" fontId="11" fillId="19" borderId="0" xfId="0" applyNumberFormat="1" applyFont="1" applyFill="1" applyAlignment="1" applyProtection="1">
      <alignment horizontal="center"/>
    </xf>
    <xf numFmtId="0" fontId="11" fillId="0" borderId="14" xfId="0" applyFont="1" applyBorder="1" applyAlignment="1" applyProtection="1">
      <alignment horizontal="center"/>
    </xf>
    <xf numFmtId="0" fontId="12" fillId="0" borderId="0" xfId="0" applyFont="1" applyProtection="1"/>
    <xf numFmtId="0" fontId="12" fillId="0" borderId="0" xfId="0" applyFont="1" applyAlignment="1" applyProtection="1">
      <alignment horizontal="center"/>
    </xf>
    <xf numFmtId="0" fontId="2" fillId="0" borderId="12" xfId="0" applyFont="1" applyBorder="1" applyAlignment="1" applyProtection="1">
      <alignment horizontal="center"/>
    </xf>
    <xf numFmtId="168" fontId="2" fillId="0" borderId="13" xfId="2" applyNumberFormat="1" applyFont="1" applyBorder="1" applyAlignment="1" applyProtection="1">
      <alignment horizontal="center"/>
    </xf>
    <xf numFmtId="0" fontId="0" fillId="0" borderId="0" xfId="0" applyFont="1" applyProtection="1"/>
    <xf numFmtId="14" fontId="11" fillId="0" borderId="0" xfId="0" applyNumberFormat="1" applyFont="1" applyAlignment="1" applyProtection="1">
      <alignment horizontal="right"/>
    </xf>
    <xf numFmtId="0" fontId="15" fillId="0" borderId="0" xfId="0" applyFont="1" applyAlignment="1" applyProtection="1">
      <alignment horizontal="center"/>
    </xf>
    <xf numFmtId="0" fontId="3" fillId="8" borderId="0" xfId="0" applyFont="1" applyFill="1" applyProtection="1"/>
    <xf numFmtId="0" fontId="0" fillId="8" borderId="0" xfId="0" applyFont="1" applyFill="1" applyProtection="1"/>
    <xf numFmtId="0" fontId="0" fillId="0" borderId="0" xfId="0" applyFont="1" applyAlignment="1" applyProtection="1">
      <alignment horizontal="center"/>
    </xf>
    <xf numFmtId="0" fontId="0" fillId="0" borderId="0" xfId="0" applyFont="1" applyAlignment="1" applyProtection="1">
      <alignment horizontal="right"/>
    </xf>
    <xf numFmtId="3" fontId="0" fillId="0" borderId="0" xfId="0" applyNumberFormat="1" applyFont="1" applyProtection="1"/>
    <xf numFmtId="0" fontId="0" fillId="0" borderId="9" xfId="0" applyFont="1" applyBorder="1" applyProtection="1"/>
    <xf numFmtId="0" fontId="0" fillId="0" borderId="10" xfId="0" applyFont="1" applyBorder="1" applyProtection="1"/>
    <xf numFmtId="0" fontId="0" fillId="0" borderId="0" xfId="0" applyFont="1" applyFill="1" applyAlignment="1" applyProtection="1">
      <alignment horizontal="right"/>
    </xf>
    <xf numFmtId="3" fontId="0" fillId="0" borderId="0" xfId="0" applyNumberFormat="1" applyFont="1" applyFill="1" applyProtection="1"/>
    <xf numFmtId="0" fontId="0" fillId="0" borderId="0" xfId="0" applyFont="1" applyFill="1" applyProtection="1"/>
    <xf numFmtId="0" fontId="0" fillId="0" borderId="0" xfId="0" applyFont="1" applyFill="1" applyAlignment="1" applyProtection="1">
      <alignment horizontal="left"/>
    </xf>
    <xf numFmtId="0" fontId="0" fillId="0" borderId="0" xfId="0" applyFont="1" applyFill="1" applyAlignment="1" applyProtection="1">
      <alignment horizontal="center"/>
    </xf>
    <xf numFmtId="0" fontId="3" fillId="8" borderId="0" xfId="0" applyFont="1" applyFill="1" applyAlignment="1" applyProtection="1">
      <alignment horizontal="right"/>
    </xf>
    <xf numFmtId="0" fontId="3" fillId="0" borderId="1" xfId="0" applyFont="1" applyBorder="1" applyAlignment="1" applyProtection="1">
      <alignment horizontal="center"/>
    </xf>
    <xf numFmtId="2" fontId="0" fillId="0" borderId="0" xfId="0" applyNumberFormat="1" applyFont="1" applyFill="1" applyAlignment="1" applyProtection="1">
      <alignment horizontal="center"/>
    </xf>
    <xf numFmtId="3" fontId="0" fillId="0" borderId="0" xfId="0" applyNumberFormat="1" applyFont="1" applyAlignment="1" applyProtection="1">
      <alignment horizontal="center"/>
    </xf>
    <xf numFmtId="164" fontId="0" fillId="0" borderId="0" xfId="1" applyNumberFormat="1" applyFont="1" applyProtection="1"/>
    <xf numFmtId="164" fontId="0" fillId="8" borderId="0" xfId="1" applyNumberFormat="1" applyFont="1" applyFill="1" applyProtection="1"/>
    <xf numFmtId="164" fontId="0" fillId="0" borderId="0" xfId="0" applyNumberFormat="1" applyFont="1" applyProtection="1"/>
    <xf numFmtId="0" fontId="0" fillId="8" borderId="0" xfId="0" applyFont="1" applyFill="1" applyAlignment="1" applyProtection="1">
      <alignment horizontal="center"/>
    </xf>
    <xf numFmtId="2" fontId="0" fillId="0" borderId="0" xfId="0" applyNumberFormat="1" applyFont="1" applyAlignment="1" applyProtection="1">
      <alignment horizontal="center"/>
    </xf>
    <xf numFmtId="0" fontId="0" fillId="0" borderId="0" xfId="0" applyFont="1" applyAlignment="1" applyProtection="1">
      <alignment horizontal="left"/>
    </xf>
    <xf numFmtId="164" fontId="0" fillId="0" borderId="0" xfId="1" applyNumberFormat="1" applyFont="1" applyAlignment="1" applyProtection="1">
      <alignment horizontal="center"/>
    </xf>
    <xf numFmtId="166" fontId="0" fillId="0" borderId="0" xfId="0" applyNumberFormat="1" applyFont="1" applyFill="1" applyAlignment="1" applyProtection="1">
      <alignment horizontal="center"/>
    </xf>
    <xf numFmtId="2" fontId="0" fillId="17" borderId="0" xfId="0" applyNumberFormat="1" applyFont="1" applyFill="1" applyProtection="1">
      <protection locked="0"/>
    </xf>
    <xf numFmtId="166" fontId="0" fillId="17" borderId="0" xfId="0" applyNumberFormat="1" applyFont="1" applyFill="1" applyAlignment="1" applyProtection="1">
      <alignment horizontal="center"/>
      <protection locked="0"/>
    </xf>
    <xf numFmtId="0" fontId="24" fillId="0" borderId="0" xfId="0" applyFont="1" applyAlignment="1" applyProtection="1">
      <alignment horizontal="center"/>
    </xf>
    <xf numFmtId="0" fontId="24" fillId="0" borderId="0" xfId="0" applyFont="1" applyProtection="1"/>
    <xf numFmtId="0" fontId="13" fillId="0" borderId="0" xfId="0" applyFont="1" applyAlignment="1">
      <alignment horizontal="center"/>
    </xf>
    <xf numFmtId="0" fontId="12" fillId="0" borderId="0" xfId="0" applyFont="1" applyAlignment="1">
      <alignment horizontal="center"/>
    </xf>
    <xf numFmtId="0" fontId="13" fillId="0" borderId="0" xfId="0" applyFont="1" applyAlignment="1" applyProtection="1">
      <alignment horizontal="center"/>
    </xf>
    <xf numFmtId="0" fontId="2" fillId="10" borderId="0" xfId="0" applyFont="1" applyFill="1" applyAlignment="1" applyProtection="1">
      <alignment horizontal="left"/>
      <protection locked="0"/>
    </xf>
    <xf numFmtId="14" fontId="2" fillId="10" borderId="0" xfId="0" applyNumberFormat="1" applyFont="1" applyFill="1" applyAlignment="1" applyProtection="1">
      <alignment horizontal="left"/>
      <protection locked="0"/>
    </xf>
    <xf numFmtId="0" fontId="12" fillId="0" borderId="0" xfId="0" applyFont="1" applyAlignment="1" applyProtection="1">
      <alignment horizontal="center"/>
    </xf>
    <xf numFmtId="0" fontId="2" fillId="2" borderId="0" xfId="0" applyFont="1" applyFill="1" applyAlignment="1" applyProtection="1">
      <alignment horizontal="left" vertical="top" wrapText="1"/>
      <protection locked="0"/>
    </xf>
    <xf numFmtId="0" fontId="2" fillId="3" borderId="0" xfId="0" applyFont="1" applyFill="1" applyAlignment="1" applyProtection="1">
      <alignment horizontal="left"/>
      <protection locked="0"/>
    </xf>
    <xf numFmtId="0" fontId="4" fillId="0" borderId="0" xfId="0" applyFont="1" applyAlignment="1" applyProtection="1">
      <alignment horizontal="right"/>
    </xf>
    <xf numFmtId="0" fontId="2" fillId="2" borderId="0" xfId="0" applyFont="1" applyFill="1" applyAlignment="1" applyProtection="1">
      <alignment horizontal="left"/>
      <protection locked="0"/>
    </xf>
    <xf numFmtId="0" fontId="23" fillId="10" borderId="0" xfId="0" applyFont="1" applyFill="1" applyAlignment="1" applyProtection="1">
      <alignment horizontal="center"/>
    </xf>
    <xf numFmtId="0" fontId="2" fillId="0" borderId="0" xfId="0" applyFont="1" applyAlignment="1" applyProtection="1">
      <alignment horizontal="left" vertical="top" wrapText="1"/>
    </xf>
    <xf numFmtId="0" fontId="19" fillId="10" borderId="0" xfId="0" applyFont="1" applyFill="1" applyAlignment="1" applyProtection="1">
      <alignment horizontal="center"/>
    </xf>
    <xf numFmtId="0" fontId="2" fillId="0" borderId="0" xfId="0" applyFont="1" applyFill="1" applyAlignment="1" applyProtection="1">
      <alignment horizontal="left"/>
    </xf>
    <xf numFmtId="14" fontId="2" fillId="0" borderId="0" xfId="0" applyNumberFormat="1" applyFont="1" applyFill="1" applyAlignment="1" applyProtection="1">
      <alignment horizontal="left"/>
    </xf>
    <xf numFmtId="0" fontId="4" fillId="6" borderId="0" xfId="0" applyFont="1" applyFill="1" applyAlignment="1" applyProtection="1">
      <alignment horizontal="center"/>
    </xf>
    <xf numFmtId="0" fontId="2" fillId="0" borderId="0" xfId="0" applyFont="1" applyAlignment="1" applyProtection="1">
      <alignment horizontal="center"/>
    </xf>
    <xf numFmtId="0" fontId="4" fillId="12" borderId="0" xfId="0" applyFont="1" applyFill="1" applyAlignment="1" applyProtection="1">
      <alignment horizontal="center"/>
    </xf>
    <xf numFmtId="0" fontId="4" fillId="14" borderId="0" xfId="0" applyFont="1" applyFill="1" applyAlignment="1" applyProtection="1">
      <alignment horizontal="center"/>
    </xf>
    <xf numFmtId="0" fontId="2" fillId="0" borderId="0" xfId="0" applyFont="1" applyAlignment="1" applyProtection="1">
      <alignment horizontal="left"/>
    </xf>
    <xf numFmtId="14" fontId="2" fillId="0" borderId="0" xfId="0" applyNumberFormat="1" applyFont="1" applyAlignment="1" applyProtection="1">
      <alignment horizontal="left"/>
    </xf>
    <xf numFmtId="0" fontId="19" fillId="7" borderId="0" xfId="0" applyFont="1" applyFill="1" applyAlignment="1" applyProtection="1">
      <alignment horizontal="center"/>
    </xf>
    <xf numFmtId="0" fontId="4" fillId="7" borderId="0" xfId="0" applyFont="1" applyFill="1" applyAlignment="1" applyProtection="1">
      <alignment horizontal="center"/>
    </xf>
    <xf numFmtId="0" fontId="12" fillId="0" borderId="0" xfId="0" applyFont="1" applyFill="1" applyAlignment="1" applyProtection="1">
      <alignment horizontal="center"/>
    </xf>
    <xf numFmtId="14" fontId="11" fillId="0" borderId="0" xfId="0" applyNumberFormat="1" applyFont="1" applyAlignment="1" applyProtection="1">
      <alignment horizontal="left"/>
    </xf>
    <xf numFmtId="0" fontId="11" fillId="0" borderId="0" xfId="0" applyFont="1" applyAlignment="1" applyProtection="1">
      <alignment horizontal="left"/>
    </xf>
    <xf numFmtId="0" fontId="11" fillId="10" borderId="0" xfId="0" applyFont="1" applyFill="1" applyAlignment="1" applyProtection="1">
      <alignment horizontal="center"/>
    </xf>
    <xf numFmtId="0" fontId="0" fillId="0" borderId="8" xfId="0" applyFont="1" applyBorder="1" applyAlignment="1" applyProtection="1">
      <alignment horizontal="center"/>
    </xf>
    <xf numFmtId="0" fontId="0" fillId="0" borderId="9" xfId="0" applyFont="1" applyBorder="1" applyAlignment="1" applyProtection="1">
      <alignment horizontal="center"/>
    </xf>
    <xf numFmtId="0" fontId="0" fillId="0" borderId="10" xfId="0" applyFont="1" applyBorder="1" applyAlignment="1" applyProtection="1">
      <alignment horizontal="center"/>
    </xf>
    <xf numFmtId="0" fontId="0" fillId="17" borderId="0" xfId="0" applyFont="1" applyFill="1" applyAlignment="1" applyProtection="1">
      <alignment horizontal="left"/>
      <protection locked="0"/>
    </xf>
    <xf numFmtId="0" fontId="11" fillId="17" borderId="0" xfId="0" applyFont="1" applyFill="1" applyAlignment="1" applyProtection="1">
      <alignment horizontal="center"/>
    </xf>
    <xf numFmtId="0" fontId="4" fillId="0" borderId="8" xfId="0" applyFont="1" applyBorder="1" applyAlignment="1" applyProtection="1">
      <alignment horizontal="center"/>
    </xf>
    <xf numFmtId="0" fontId="4" fillId="0" borderId="9" xfId="0" applyFont="1" applyBorder="1" applyAlignment="1" applyProtection="1">
      <alignment horizontal="center"/>
    </xf>
    <xf numFmtId="0" fontId="4" fillId="0" borderId="10" xfId="0" applyFont="1" applyBorder="1" applyAlignment="1" applyProtection="1">
      <alignment horizontal="center"/>
    </xf>
    <xf numFmtId="0" fontId="2" fillId="4" borderId="11" xfId="0" applyFont="1" applyFill="1" applyBorder="1" applyAlignment="1" applyProtection="1">
      <alignment horizontal="center" vertical="center" textRotation="90"/>
    </xf>
    <xf numFmtId="0" fontId="2" fillId="4" borderId="0" xfId="0" applyFont="1" applyFill="1" applyBorder="1" applyAlignment="1" applyProtection="1">
      <alignment horizontal="center" vertical="center" textRotation="90"/>
    </xf>
    <xf numFmtId="0" fontId="2" fillId="20" borderId="0" xfId="0" applyFont="1" applyFill="1" applyAlignment="1" applyProtection="1">
      <alignment horizontal="center"/>
    </xf>
    <xf numFmtId="49" fontId="2" fillId="21" borderId="0" xfId="0" applyNumberFormat="1" applyFont="1" applyFill="1" applyBorder="1" applyAlignment="1" applyProtection="1">
      <alignment horizontal="center" vertical="center" textRotation="90"/>
    </xf>
    <xf numFmtId="49" fontId="2" fillId="21" borderId="2" xfId="0" applyNumberFormat="1" applyFont="1" applyFill="1" applyBorder="1" applyAlignment="1" applyProtection="1">
      <alignment horizontal="center" vertical="center" textRotation="90"/>
    </xf>
    <xf numFmtId="0" fontId="2" fillId="12" borderId="0" xfId="0" applyFont="1" applyFill="1" applyBorder="1" applyAlignment="1" applyProtection="1">
      <alignment horizontal="center" vertical="center" textRotation="90"/>
    </xf>
    <xf numFmtId="0" fontId="2" fillId="12" borderId="2" xfId="0" applyFont="1" applyFill="1" applyBorder="1" applyAlignment="1" applyProtection="1">
      <alignment horizontal="center" vertical="center" textRotation="90"/>
    </xf>
    <xf numFmtId="0" fontId="4" fillId="3" borderId="0" xfId="0" applyFont="1" applyFill="1" applyAlignment="1" applyProtection="1">
      <alignment horizontal="right"/>
    </xf>
    <xf numFmtId="0" fontId="11" fillId="20" borderId="0" xfId="0" applyFont="1" applyFill="1" applyAlignment="1" applyProtection="1">
      <alignment horizontal="center"/>
    </xf>
  </cellXfs>
  <cellStyles count="3">
    <cellStyle name="Comma" xfId="2" builtinId="3"/>
    <cellStyle name="Normal" xfId="0" builtinId="0"/>
    <cellStyle name="Percent" xfId="1" builtinId="5"/>
  </cellStyles>
  <dxfs count="28">
    <dxf>
      <font>
        <b/>
        <i val="0"/>
        <color theme="0"/>
      </font>
      <fill>
        <patternFill>
          <bgColor theme="9"/>
        </patternFill>
      </fill>
    </dxf>
    <dxf>
      <font>
        <b/>
        <i val="0"/>
        <color theme="0"/>
      </font>
      <fill>
        <patternFill>
          <bgColor rgb="FFC00000"/>
        </patternFill>
      </fill>
    </dxf>
    <dxf>
      <font>
        <b/>
        <i val="0"/>
        <color theme="0"/>
      </font>
      <fill>
        <patternFill>
          <bgColor rgb="FFFFC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rgb="FFFFC000"/>
        </patternFill>
      </fill>
    </dxf>
    <dxf>
      <font>
        <color rgb="FF9C0006"/>
      </font>
      <fill>
        <patternFill>
          <bgColor rgb="FFFFC7CE"/>
        </patternFill>
      </fill>
    </dxf>
    <dxf>
      <font>
        <color rgb="FF9C0006"/>
      </font>
      <fill>
        <patternFill>
          <bgColor rgb="FFFFC7CE"/>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s>
  <tableStyles count="0" defaultTableStyle="TableStyleMedium2" defaultPivotStyle="PivotStyleLight16"/>
  <colors>
    <mruColors>
      <color rgb="FFDDDDDD"/>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167640</xdr:colOff>
      <xdr:row>2</xdr:row>
      <xdr:rowOff>144780</xdr:rowOff>
    </xdr:from>
    <xdr:ext cx="5684520" cy="7330440"/>
    <xdr:sp macro="" textlink="">
      <xdr:nvSpPr>
        <xdr:cNvPr id="2" name="TextBox 1">
          <a:extLst>
            <a:ext uri="{FF2B5EF4-FFF2-40B4-BE49-F238E27FC236}">
              <a16:creationId xmlns:a16="http://schemas.microsoft.com/office/drawing/2014/main" id="{66D4FF22-7A7E-49D4-9DBF-F5A81485DD2F}"/>
            </a:ext>
          </a:extLst>
        </xdr:cNvPr>
        <xdr:cNvSpPr txBox="1"/>
      </xdr:nvSpPr>
      <xdr:spPr>
        <a:xfrm>
          <a:off x="167640" y="495300"/>
          <a:ext cx="5684520" cy="73304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Purpose:</a:t>
          </a:r>
        </a:p>
        <a:p>
          <a:pPr algn="l"/>
          <a:r>
            <a:rPr lang="en-US" sz="1100"/>
            <a:t>This</a:t>
          </a:r>
          <a:r>
            <a:rPr lang="en-US" sz="1100" baseline="0"/>
            <a:t> spreadsheet file has been created to assist in the design and review of Stormwater Wetland Projects which are seeking or have obtained funding through the State of Iowa's water quality programs.</a:t>
          </a:r>
        </a:p>
        <a:p>
          <a:pPr algn="l"/>
          <a:endParaRPr lang="en-US" sz="1100" baseline="0"/>
        </a:p>
        <a:p>
          <a:pPr algn="l"/>
          <a:r>
            <a:rPr lang="en-US" sz="1100" baseline="0"/>
            <a:t>This document is intended to be completed by the designer to provide review agencies with project data assembled and presented for review in a consistent manner from project to project.</a:t>
          </a:r>
        </a:p>
        <a:p>
          <a:pPr algn="l"/>
          <a:endParaRPr lang="en-US" sz="1100" baseline="0"/>
        </a:p>
        <a:p>
          <a:pPr algn="l"/>
          <a:r>
            <a:rPr lang="en-US" sz="1100" baseline="0"/>
            <a:t>Using data entered by the designer (data to be entered within the provided blank shaded boxes on each tabulation sheet), this document will complete many of the basic sizing calculation steps following the methods described within the Iowa Stormwater Management Manual (ISWMM).</a:t>
          </a:r>
        </a:p>
        <a:p>
          <a:endParaRPr lang="en-US" sz="1100" baseline="0"/>
        </a:p>
        <a:p>
          <a:r>
            <a:rPr lang="en-US" sz="1100" b="1" u="sng" baseline="0"/>
            <a:t>Contents:</a:t>
          </a:r>
        </a:p>
        <a:p>
          <a:endParaRPr lang="en-US" sz="1100" baseline="0"/>
        </a:p>
        <a:p>
          <a:r>
            <a:rPr lang="en-US" sz="1100" b="0" baseline="0">
              <a:solidFill>
                <a:schemeClr val="accent6">
                  <a:lumMod val="75000"/>
                </a:schemeClr>
              </a:solidFill>
            </a:rPr>
            <a:t>Checklists (to be completed and provided as part of State of Iowa water quality project review):</a:t>
          </a:r>
        </a:p>
        <a:p>
          <a:r>
            <a:rPr lang="en-US" sz="1100" baseline="0"/>
            <a:t>CL_1: Screening</a:t>
          </a:r>
        </a:p>
        <a:p>
          <a:r>
            <a:rPr lang="en-US" sz="1100" baseline="0"/>
            <a:t>CL_2: Design Summary</a:t>
          </a:r>
        </a:p>
        <a:p>
          <a:endParaRPr lang="en-US" sz="1100" baseline="0"/>
        </a:p>
        <a:p>
          <a:r>
            <a:rPr lang="en-US" sz="1100" b="0" baseline="0">
              <a:solidFill>
                <a:srgbClr val="0070C0"/>
              </a:solidFill>
            </a:rPr>
            <a:t>Calculation worksheets (integrated into project design reports at required stage of review):</a:t>
          </a:r>
        </a:p>
        <a:p>
          <a:r>
            <a:rPr lang="en-US" sz="1100" baseline="0"/>
            <a:t>DE_1: Watershed Info</a:t>
          </a:r>
        </a:p>
        <a:p>
          <a:r>
            <a:rPr lang="en-US" sz="1100" baseline="0"/>
            <a:t>Step 3: Hydrology*</a:t>
          </a:r>
        </a:p>
        <a:p>
          <a:r>
            <a:rPr lang="en-US" sz="1100" baseline="0"/>
            <a:t>Step 4: Pre-treatment</a:t>
          </a:r>
        </a:p>
        <a:p>
          <a:r>
            <a:rPr lang="en-US" sz="1100" baseline="0"/>
            <a:t>Step 5-7: Final Storage Volumes</a:t>
          </a:r>
        </a:p>
        <a:p>
          <a:r>
            <a:rPr lang="en-US" sz="1100" baseline="0"/>
            <a:t>Step 9: Results</a:t>
          </a:r>
        </a:p>
        <a:p>
          <a:r>
            <a:rPr lang="en-US" sz="1100" baseline="0"/>
            <a:t>Note that Steps 3-9 refer to the calculation step listed within the ISWMM Design Manual.</a:t>
          </a:r>
        </a:p>
        <a:p>
          <a:endParaRPr lang="en-US" sz="1100" baseline="0"/>
        </a:p>
        <a:p>
          <a:r>
            <a:rPr lang="en-US" sz="900" i="1" baseline="0"/>
            <a:t>*Step 3 tabulation sheet is available for use by the designer for preliminary estimation of required storage volumes.  It may be omitted if software programs are used to complete similar calculations and if the same data is included by the designer with the design report for review.</a:t>
          </a:r>
        </a:p>
        <a:p>
          <a:endParaRPr lang="en-US" sz="1100" baseline="0"/>
        </a:p>
        <a:p>
          <a:r>
            <a:rPr lang="en-US" sz="1100" b="1" u="sng" baseline="0"/>
            <a:t>DISCLAIMER:</a:t>
          </a:r>
        </a:p>
        <a:p>
          <a:r>
            <a:rPr lang="en-US" sz="1100" baseline="0"/>
            <a:t>This document is intended only to be used for the purposes as described above.  It is expected that designers which use this document are familiar with the Stormwater Wetlands chapter of ISWMM and understand the methods described within.  The user of this document is ultimately responsible for the accurate entry of data into this document and to verify that all included and associated calculations performed are correct and consistent with the methods of design described within ISWMM as applicable to a given project.</a:t>
          </a:r>
        </a:p>
        <a:p>
          <a:endParaRPr lang="en-US" sz="1100" baseline="0"/>
        </a:p>
        <a:p>
          <a:r>
            <a:rPr lang="en-US" sz="1100" baseline="0"/>
            <a:t>By providing this document for use, the State of Iowa, the Iowa Department of Agriculture and Land Stewardship, and any other entity involved in its creation assumes no responsibility for its use, associated calculations or for other project related tasks which are the responsibility of the design professional.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D45E0-2D2A-4804-9248-8129CC56FAE1}">
  <sheetPr>
    <tabColor rgb="FFFF0000"/>
  </sheetPr>
  <dimension ref="A1:K66"/>
  <sheetViews>
    <sheetView tabSelected="1" view="pageBreakPreview" zoomScaleNormal="100" zoomScaleSheetLayoutView="100" workbookViewId="0">
      <selection activeCell="N31" sqref="N31"/>
    </sheetView>
  </sheetViews>
  <sheetFormatPr defaultColWidth="8.85546875" defaultRowHeight="12" x14ac:dyDescent="0.2"/>
  <cols>
    <col min="1" max="3" width="8.85546875" style="1"/>
    <col min="4" max="4" width="10" style="1" customWidth="1"/>
    <col min="5" max="16384" width="8.85546875" style="1"/>
  </cols>
  <sheetData>
    <row r="1" spans="1:10" s="7" customFormat="1" ht="12.75" x14ac:dyDescent="0.2">
      <c r="A1" s="260" t="s">
        <v>120</v>
      </c>
      <c r="B1" s="260"/>
      <c r="C1" s="260"/>
      <c r="D1" s="260"/>
      <c r="E1" s="260"/>
      <c r="F1" s="260"/>
      <c r="G1" s="260"/>
      <c r="H1" s="260"/>
      <c r="I1" s="260"/>
    </row>
    <row r="2" spans="1:10" s="7" customFormat="1" ht="12.75" x14ac:dyDescent="0.2">
      <c r="A2" s="261"/>
      <c r="B2" s="261"/>
      <c r="C2" s="261"/>
      <c r="D2" s="261"/>
      <c r="E2" s="261"/>
      <c r="F2" s="261"/>
      <c r="G2" s="261"/>
      <c r="H2" s="261"/>
      <c r="I2" s="261"/>
    </row>
    <row r="3" spans="1:10" s="2" customFormat="1" x14ac:dyDescent="0.2">
      <c r="A3" s="3"/>
      <c r="B3" s="8"/>
      <c r="C3" s="11"/>
      <c r="D3" s="11"/>
      <c r="E3" s="11"/>
      <c r="F3" s="11"/>
      <c r="G3" s="11"/>
      <c r="H3" s="11"/>
      <c r="I3" s="11"/>
      <c r="J3" s="3"/>
    </row>
    <row r="4" spans="1:10" s="3" customFormat="1" ht="3.6" customHeight="1" x14ac:dyDescent="0.2">
      <c r="B4" s="8"/>
      <c r="C4" s="14"/>
      <c r="D4" s="14"/>
      <c r="E4" s="14"/>
      <c r="F4" s="14"/>
      <c r="G4" s="14"/>
      <c r="H4" s="14"/>
      <c r="I4" s="14"/>
    </row>
    <row r="5" spans="1:10" x14ac:dyDescent="0.2">
      <c r="A5" s="12"/>
      <c r="B5" s="12"/>
      <c r="C5" s="11"/>
      <c r="D5" s="11"/>
      <c r="E5" s="11"/>
      <c r="F5" s="8"/>
      <c r="G5" s="34"/>
      <c r="H5" s="11"/>
      <c r="I5" s="11"/>
      <c r="J5" s="4"/>
    </row>
    <row r="6" spans="1:10" s="4" customFormat="1" ht="3" customHeight="1" x14ac:dyDescent="0.2">
      <c r="A6" s="8"/>
      <c r="B6" s="8"/>
      <c r="C6" s="14"/>
      <c r="D6" s="14"/>
      <c r="E6" s="14"/>
      <c r="F6" s="8"/>
      <c r="G6" s="14"/>
      <c r="H6" s="14"/>
      <c r="I6" s="14"/>
    </row>
    <row r="7" spans="1:10" x14ac:dyDescent="0.2">
      <c r="A7" s="12"/>
      <c r="B7" s="12"/>
      <c r="C7" s="11"/>
      <c r="D7" s="11"/>
      <c r="E7" s="11"/>
      <c r="F7" s="8"/>
      <c r="G7" s="11"/>
      <c r="H7" s="11"/>
      <c r="I7" s="11"/>
      <c r="J7" s="4"/>
    </row>
    <row r="8" spans="1:10" s="4" customFormat="1" ht="3.6" customHeight="1" x14ac:dyDescent="0.2">
      <c r="A8" s="8"/>
      <c r="B8" s="8"/>
      <c r="C8" s="14"/>
      <c r="D8" s="14"/>
      <c r="E8" s="14"/>
      <c r="F8" s="8"/>
      <c r="G8" s="14"/>
      <c r="H8" s="14"/>
      <c r="I8" s="14"/>
    </row>
    <row r="9" spans="1:10" x14ac:dyDescent="0.2">
      <c r="A9" s="12"/>
      <c r="B9" s="12"/>
      <c r="C9" s="12"/>
      <c r="D9" s="12"/>
      <c r="E9" s="12"/>
      <c r="F9" s="12"/>
      <c r="G9" s="12"/>
      <c r="H9" s="12"/>
      <c r="I9" s="12"/>
      <c r="J9" s="12"/>
    </row>
    <row r="10" spans="1:10" ht="3.6" customHeight="1" x14ac:dyDescent="0.2">
      <c r="A10" s="4"/>
      <c r="B10" s="4"/>
      <c r="C10" s="4"/>
      <c r="D10" s="4"/>
      <c r="E10" s="4"/>
      <c r="F10" s="4"/>
      <c r="G10" s="4"/>
      <c r="H10" s="4"/>
      <c r="I10" s="4"/>
      <c r="J10" s="4"/>
    </row>
    <row r="11" spans="1:10" x14ac:dyDescent="0.2">
      <c r="A11" s="9"/>
      <c r="B11" s="4"/>
      <c r="C11" s="4"/>
      <c r="D11" s="4"/>
      <c r="E11" s="4"/>
      <c r="F11" s="4"/>
      <c r="G11" s="4"/>
      <c r="H11" s="4"/>
      <c r="I11" s="4"/>
      <c r="J11" s="4"/>
    </row>
    <row r="12" spans="1:10" x14ac:dyDescent="0.2">
      <c r="A12" s="4"/>
      <c r="B12" s="4"/>
      <c r="C12" s="4"/>
      <c r="D12" s="4"/>
      <c r="E12" s="4"/>
      <c r="F12" s="4"/>
      <c r="G12" s="4"/>
      <c r="H12" s="4"/>
      <c r="I12" s="4"/>
      <c r="J12" s="4"/>
    </row>
    <row r="13" spans="1:10" x14ac:dyDescent="0.2">
      <c r="A13" s="4"/>
      <c r="B13" s="4"/>
      <c r="C13" s="4"/>
      <c r="D13" s="3"/>
      <c r="E13" s="5"/>
      <c r="F13" s="4"/>
      <c r="G13" s="4"/>
      <c r="H13" s="4"/>
      <c r="I13" s="4"/>
      <c r="J13" s="4"/>
    </row>
    <row r="14" spans="1:10" x14ac:dyDescent="0.2">
      <c r="A14" s="4"/>
      <c r="B14" s="4"/>
      <c r="C14" s="4"/>
      <c r="D14" s="4"/>
      <c r="E14" s="5"/>
      <c r="F14" s="4"/>
      <c r="G14" s="4"/>
      <c r="H14" s="4"/>
      <c r="I14" s="4"/>
      <c r="J14" s="4"/>
    </row>
    <row r="15" spans="1:10" s="4" customFormat="1" ht="3.6" customHeight="1" x14ac:dyDescent="0.2">
      <c r="E15" s="5"/>
    </row>
    <row r="16" spans="1:10" x14ac:dyDescent="0.2">
      <c r="A16" s="4"/>
      <c r="B16" s="4"/>
      <c r="C16" s="4"/>
      <c r="D16" s="4"/>
      <c r="E16" s="4"/>
      <c r="F16" s="5"/>
      <c r="G16" s="4"/>
      <c r="H16" s="4"/>
      <c r="I16" s="4"/>
      <c r="J16" s="4"/>
    </row>
    <row r="17" spans="1:10" x14ac:dyDescent="0.2">
      <c r="A17" s="4"/>
      <c r="B17" s="4"/>
      <c r="C17" s="4"/>
      <c r="D17" s="4"/>
      <c r="E17" s="4"/>
      <c r="F17" s="4"/>
      <c r="G17" s="4"/>
      <c r="H17" s="4"/>
      <c r="I17" s="4"/>
      <c r="J17" s="4"/>
    </row>
    <row r="18" spans="1:10" x14ac:dyDescent="0.2">
      <c r="A18" s="4"/>
      <c r="B18" s="4"/>
      <c r="C18" s="4"/>
      <c r="D18" s="3"/>
      <c r="E18" s="5"/>
      <c r="F18" s="3"/>
      <c r="G18" s="5"/>
      <c r="H18" s="35"/>
      <c r="I18" s="35"/>
      <c r="J18" s="4"/>
    </row>
    <row r="19" spans="1:10" x14ac:dyDescent="0.2">
      <c r="A19" s="4"/>
      <c r="B19" s="4"/>
      <c r="C19" s="4"/>
      <c r="D19" s="3"/>
      <c r="E19" s="5"/>
      <c r="F19" s="3"/>
      <c r="G19" s="5"/>
      <c r="H19" s="35"/>
      <c r="I19" s="35"/>
      <c r="J19" s="4"/>
    </row>
    <row r="20" spans="1:10" x14ac:dyDescent="0.2">
      <c r="A20" s="4"/>
      <c r="B20" s="4"/>
      <c r="C20" s="4"/>
      <c r="D20" s="4"/>
      <c r="E20" s="4"/>
      <c r="F20" s="4"/>
      <c r="G20" s="4"/>
      <c r="H20" s="4"/>
      <c r="I20" s="4"/>
      <c r="J20" s="4"/>
    </row>
    <row r="21" spans="1:10" x14ac:dyDescent="0.2">
      <c r="A21" s="4"/>
      <c r="B21" s="4"/>
      <c r="C21" s="4"/>
      <c r="D21" s="4"/>
      <c r="E21" s="4"/>
      <c r="F21" s="4"/>
      <c r="G21" s="4"/>
      <c r="H21" s="4"/>
      <c r="I21" s="4"/>
      <c r="J21" s="4"/>
    </row>
    <row r="22" spans="1:10" x14ac:dyDescent="0.2">
      <c r="A22" s="11"/>
      <c r="B22" s="11"/>
      <c r="C22" s="11"/>
      <c r="D22" s="11"/>
      <c r="E22" s="11"/>
      <c r="F22" s="11"/>
      <c r="G22" s="11"/>
      <c r="H22" s="11"/>
      <c r="I22" s="11"/>
      <c r="J22" s="11"/>
    </row>
    <row r="23" spans="1:10" x14ac:dyDescent="0.2">
      <c r="A23" s="4"/>
      <c r="B23" s="4"/>
      <c r="C23" s="4"/>
      <c r="D23" s="4"/>
      <c r="E23" s="4"/>
      <c r="F23" s="4"/>
      <c r="G23" s="4"/>
      <c r="H23" s="4"/>
      <c r="I23" s="4"/>
      <c r="J23" s="4"/>
    </row>
    <row r="24" spans="1:10" x14ac:dyDescent="0.2">
      <c r="A24" s="4"/>
      <c r="B24" s="4"/>
      <c r="C24" s="4"/>
      <c r="D24" s="3"/>
      <c r="E24" s="5"/>
      <c r="F24" s="4"/>
      <c r="G24" s="3"/>
      <c r="H24" s="5"/>
      <c r="I24" s="4"/>
      <c r="J24" s="4"/>
    </row>
    <row r="25" spans="1:10" x14ac:dyDescent="0.2">
      <c r="A25" s="4"/>
      <c r="B25" s="4"/>
      <c r="C25" s="4"/>
      <c r="D25" s="3"/>
      <c r="E25" s="5"/>
      <c r="F25" s="4"/>
      <c r="G25" s="3"/>
      <c r="H25" s="5"/>
      <c r="I25" s="4"/>
      <c r="J25" s="4"/>
    </row>
    <row r="26" spans="1:10" s="4" customFormat="1" ht="3" customHeight="1" x14ac:dyDescent="0.2">
      <c r="D26" s="3"/>
      <c r="E26" s="5"/>
      <c r="G26" s="3"/>
      <c r="H26" s="5"/>
    </row>
    <row r="27" spans="1:10" x14ac:dyDescent="0.2">
      <c r="A27" s="4"/>
      <c r="B27" s="4"/>
      <c r="C27" s="11"/>
      <c r="D27" s="11"/>
      <c r="E27" s="11"/>
      <c r="F27" s="11"/>
      <c r="G27" s="11"/>
      <c r="H27" s="11"/>
      <c r="I27" s="11"/>
      <c r="J27" s="11"/>
    </row>
    <row r="28" spans="1:10" x14ac:dyDescent="0.2">
      <c r="A28" s="4"/>
      <c r="B28" s="4"/>
      <c r="C28" s="4"/>
      <c r="D28" s="4"/>
      <c r="E28" s="4"/>
      <c r="F28" s="4"/>
      <c r="G28" s="4"/>
      <c r="H28" s="4"/>
      <c r="I28" s="4"/>
      <c r="J28" s="4"/>
    </row>
    <row r="29" spans="1:10" x14ac:dyDescent="0.2">
      <c r="A29" s="4"/>
      <c r="B29" s="4"/>
      <c r="C29" s="5"/>
      <c r="D29" s="4"/>
      <c r="E29" s="4"/>
      <c r="F29" s="4"/>
      <c r="G29" s="4"/>
      <c r="H29" s="4"/>
      <c r="I29" s="4"/>
      <c r="J29" s="4"/>
    </row>
    <row r="30" spans="1:10" x14ac:dyDescent="0.2">
      <c r="A30" s="4"/>
      <c r="B30" s="4"/>
      <c r="C30" s="4"/>
      <c r="D30" s="4"/>
      <c r="E30" s="4"/>
      <c r="F30" s="4"/>
      <c r="G30" s="4"/>
      <c r="H30" s="4"/>
      <c r="I30" s="4"/>
      <c r="J30" s="4"/>
    </row>
    <row r="31" spans="1:10" x14ac:dyDescent="0.2">
      <c r="A31" s="4"/>
      <c r="B31" s="4"/>
      <c r="C31" s="4"/>
      <c r="D31" s="4"/>
      <c r="E31" s="36"/>
      <c r="F31" s="4"/>
      <c r="G31" s="4"/>
      <c r="H31" s="4"/>
      <c r="I31" s="4"/>
      <c r="J31" s="4"/>
    </row>
    <row r="32" spans="1:10" x14ac:dyDescent="0.2">
      <c r="A32" s="4"/>
      <c r="B32" s="4"/>
      <c r="C32" s="4"/>
      <c r="D32" s="4"/>
      <c r="E32" s="4"/>
      <c r="F32" s="4"/>
      <c r="G32" s="4"/>
      <c r="H32" s="4"/>
      <c r="I32" s="4"/>
      <c r="J32" s="4"/>
    </row>
    <row r="33" spans="1:10" x14ac:dyDescent="0.2">
      <c r="A33" s="4"/>
      <c r="B33" s="4"/>
      <c r="C33" s="4"/>
      <c r="D33" s="5"/>
      <c r="E33" s="4"/>
      <c r="F33" s="4"/>
      <c r="G33" s="4"/>
      <c r="H33" s="4"/>
      <c r="I33" s="4"/>
      <c r="J33" s="4"/>
    </row>
    <row r="34" spans="1:10" x14ac:dyDescent="0.2">
      <c r="A34" s="4"/>
      <c r="B34" s="4"/>
      <c r="C34" s="4"/>
      <c r="D34" s="4"/>
      <c r="E34" s="4"/>
      <c r="F34" s="4"/>
      <c r="G34" s="4"/>
      <c r="H34" s="4"/>
      <c r="I34" s="4"/>
      <c r="J34" s="4"/>
    </row>
    <row r="35" spans="1:10" x14ac:dyDescent="0.2">
      <c r="A35" s="4"/>
      <c r="B35" s="4"/>
      <c r="C35" s="4"/>
      <c r="D35" s="4"/>
      <c r="E35" s="5"/>
      <c r="F35" s="4"/>
      <c r="G35" s="4"/>
      <c r="H35" s="4"/>
      <c r="I35" s="4"/>
      <c r="J35" s="4"/>
    </row>
    <row r="36" spans="1:10" x14ac:dyDescent="0.2">
      <c r="A36" s="4"/>
      <c r="B36" s="4"/>
      <c r="C36" s="4"/>
      <c r="D36" s="4"/>
      <c r="E36" s="4"/>
      <c r="F36" s="4"/>
      <c r="G36" s="4"/>
      <c r="H36" s="4"/>
      <c r="I36" s="4"/>
      <c r="J36" s="4"/>
    </row>
    <row r="37" spans="1:10" x14ac:dyDescent="0.2">
      <c r="A37" s="4"/>
      <c r="B37" s="4"/>
      <c r="C37" s="4"/>
      <c r="D37" s="4"/>
      <c r="E37" s="5"/>
      <c r="F37" s="4"/>
      <c r="G37" s="4"/>
      <c r="H37" s="4"/>
      <c r="I37" s="4"/>
      <c r="J37" s="4"/>
    </row>
    <row r="38" spans="1:10" x14ac:dyDescent="0.2">
      <c r="A38" s="4"/>
      <c r="B38" s="4"/>
      <c r="C38" s="4"/>
      <c r="D38" s="4"/>
      <c r="E38" s="5"/>
      <c r="F38" s="4"/>
      <c r="G38" s="4"/>
      <c r="H38" s="4"/>
      <c r="I38" s="4"/>
      <c r="J38" s="4"/>
    </row>
    <row r="39" spans="1:10" s="4" customFormat="1" ht="3.6" customHeight="1" x14ac:dyDescent="0.2">
      <c r="E39" s="5"/>
    </row>
    <row r="40" spans="1:10" x14ac:dyDescent="0.2">
      <c r="A40" s="4"/>
      <c r="B40" s="4"/>
      <c r="C40" s="4"/>
      <c r="D40" s="4"/>
      <c r="E40" s="5"/>
      <c r="F40" s="4"/>
      <c r="G40" s="4"/>
      <c r="H40" s="4"/>
      <c r="I40" s="4"/>
      <c r="J40" s="4"/>
    </row>
    <row r="41" spans="1:10" x14ac:dyDescent="0.2">
      <c r="A41" s="4"/>
      <c r="B41" s="4"/>
      <c r="C41" s="4"/>
      <c r="D41" s="4"/>
      <c r="E41" s="5"/>
      <c r="F41" s="4"/>
      <c r="G41" s="4"/>
      <c r="H41" s="4"/>
      <c r="I41" s="4"/>
      <c r="J41" s="4"/>
    </row>
    <row r="42" spans="1:10" x14ac:dyDescent="0.2">
      <c r="A42" s="4"/>
      <c r="B42" s="4"/>
      <c r="C42" s="4"/>
      <c r="D42" s="4"/>
      <c r="E42" s="4"/>
      <c r="F42" s="4"/>
      <c r="G42" s="4"/>
      <c r="H42" s="4"/>
      <c r="I42" s="4"/>
      <c r="J42" s="4"/>
    </row>
    <row r="43" spans="1:10" x14ac:dyDescent="0.2">
      <c r="A43" s="9"/>
      <c r="B43" s="4"/>
      <c r="C43" s="4"/>
      <c r="D43" s="4"/>
      <c r="E43" s="4"/>
      <c r="F43" s="4"/>
      <c r="G43" s="4"/>
      <c r="H43" s="4"/>
      <c r="I43" s="4"/>
      <c r="J43" s="4"/>
    </row>
    <row r="44" spans="1:10" x14ac:dyDescent="0.2">
      <c r="A44" s="4"/>
      <c r="B44" s="4"/>
      <c r="C44" s="4"/>
      <c r="D44" s="4"/>
      <c r="E44" s="4"/>
      <c r="F44" s="4"/>
      <c r="G44" s="4"/>
      <c r="H44" s="4"/>
      <c r="I44" s="4"/>
      <c r="J44" s="4"/>
    </row>
    <row r="45" spans="1:10" x14ac:dyDescent="0.2">
      <c r="A45" s="4"/>
      <c r="B45" s="4"/>
      <c r="C45" s="5"/>
      <c r="D45" s="4"/>
      <c r="E45" s="5"/>
      <c r="F45" s="4"/>
      <c r="G45" s="4"/>
      <c r="H45" s="5"/>
      <c r="I45" s="4"/>
      <c r="J45" s="4"/>
    </row>
    <row r="46" spans="1:10" s="4" customFormat="1" ht="3.6" customHeight="1" x14ac:dyDescent="0.2">
      <c r="A46" s="37"/>
      <c r="B46" s="37"/>
      <c r="C46" s="5"/>
      <c r="E46" s="5"/>
      <c r="H46" s="5"/>
    </row>
    <row r="47" spans="1:10" x14ac:dyDescent="0.2">
      <c r="A47" s="37"/>
      <c r="B47" s="37"/>
      <c r="C47" s="5"/>
      <c r="D47" s="4"/>
      <c r="E47" s="11"/>
      <c r="F47" s="11"/>
      <c r="G47" s="11"/>
      <c r="H47" s="11"/>
      <c r="I47" s="11"/>
      <c r="J47" s="11"/>
    </row>
    <row r="48" spans="1:10" x14ac:dyDescent="0.2">
      <c r="A48" s="4"/>
      <c r="B48" s="4"/>
      <c r="C48" s="4"/>
      <c r="D48" s="4"/>
      <c r="E48" s="4"/>
      <c r="F48" s="4"/>
      <c r="G48" s="4"/>
      <c r="H48" s="4"/>
      <c r="I48" s="4"/>
      <c r="J48" s="4"/>
    </row>
    <row r="49" spans="1:11" x14ac:dyDescent="0.2">
      <c r="A49" s="4"/>
      <c r="B49" s="4"/>
      <c r="C49" s="5"/>
      <c r="D49" s="4"/>
      <c r="E49" s="4"/>
      <c r="F49" s="4"/>
      <c r="G49" s="4"/>
      <c r="H49" s="4"/>
      <c r="I49" s="4"/>
      <c r="J49" s="4"/>
    </row>
    <row r="50" spans="1:11" x14ac:dyDescent="0.2">
      <c r="A50" s="4"/>
      <c r="B50" s="4"/>
      <c r="C50" s="5"/>
      <c r="D50" s="3"/>
      <c r="E50" s="11"/>
      <c r="F50" s="11"/>
      <c r="G50" s="11"/>
      <c r="H50" s="11"/>
      <c r="I50" s="11"/>
      <c r="J50" s="11"/>
    </row>
    <row r="51" spans="1:11" x14ac:dyDescent="0.2">
      <c r="A51" s="4"/>
      <c r="B51" s="4"/>
      <c r="C51" s="5"/>
      <c r="D51" s="4"/>
      <c r="E51" s="4"/>
      <c r="F51" s="4"/>
      <c r="G51" s="4"/>
      <c r="H51" s="4"/>
      <c r="I51" s="4"/>
      <c r="J51" s="4"/>
    </row>
    <row r="52" spans="1:11" x14ac:dyDescent="0.2">
      <c r="A52" s="4"/>
      <c r="B52" s="4"/>
      <c r="C52" s="5"/>
      <c r="D52" s="3"/>
      <c r="E52" s="5"/>
      <c r="F52" s="4"/>
      <c r="G52" s="4"/>
      <c r="H52" s="4"/>
      <c r="I52" s="4"/>
      <c r="J52" s="4"/>
    </row>
    <row r="53" spans="1:11" x14ac:dyDescent="0.2">
      <c r="A53" s="4"/>
      <c r="B53" s="4"/>
      <c r="C53" s="5"/>
      <c r="D53" s="4"/>
      <c r="E53" s="4"/>
      <c r="F53" s="4"/>
      <c r="G53" s="4"/>
      <c r="H53" s="4"/>
      <c r="I53" s="4"/>
      <c r="J53" s="4"/>
    </row>
    <row r="54" spans="1:11" x14ac:dyDescent="0.2">
      <c r="A54" s="4"/>
      <c r="B54" s="4"/>
      <c r="C54" s="5"/>
      <c r="D54" s="4"/>
      <c r="E54" s="4"/>
      <c r="F54" s="4"/>
      <c r="G54" s="4"/>
      <c r="H54" s="4"/>
      <c r="I54" s="4"/>
      <c r="J54" s="4"/>
    </row>
    <row r="55" spans="1:11" x14ac:dyDescent="0.2">
      <c r="A55" s="4"/>
      <c r="B55" s="4"/>
      <c r="C55" s="5"/>
      <c r="D55" s="4"/>
      <c r="E55" s="4"/>
      <c r="F55" s="4"/>
      <c r="G55" s="4"/>
      <c r="H55" s="4"/>
      <c r="I55" s="4"/>
      <c r="J55" s="4"/>
    </row>
    <row r="56" spans="1:11" x14ac:dyDescent="0.2">
      <c r="A56" s="4"/>
      <c r="B56" s="4"/>
      <c r="C56" s="5"/>
      <c r="D56" s="4"/>
      <c r="E56" s="4"/>
      <c r="F56" s="4"/>
      <c r="G56" s="4"/>
      <c r="H56" s="4"/>
      <c r="I56" s="4"/>
      <c r="J56" s="4"/>
    </row>
    <row r="57" spans="1:11" x14ac:dyDescent="0.2">
      <c r="A57" s="4"/>
      <c r="B57" s="4"/>
      <c r="C57" s="4"/>
      <c r="D57" s="4"/>
      <c r="E57" s="4"/>
      <c r="F57" s="4"/>
      <c r="G57" s="4"/>
      <c r="H57" s="4"/>
      <c r="I57" s="4"/>
      <c r="J57" s="4"/>
    </row>
    <row r="58" spans="1:11" x14ac:dyDescent="0.2">
      <c r="A58" s="4"/>
      <c r="B58" s="4"/>
      <c r="C58" s="4"/>
      <c r="D58" s="4"/>
      <c r="E58" s="4"/>
      <c r="F58" s="38"/>
      <c r="G58" s="38"/>
      <c r="H58" s="38"/>
      <c r="I58" s="38"/>
      <c r="J58" s="38"/>
      <c r="K58" s="13"/>
    </row>
    <row r="59" spans="1:11" x14ac:dyDescent="0.2">
      <c r="A59" s="4"/>
      <c r="B59" s="4"/>
      <c r="C59" s="4"/>
      <c r="D59" s="4"/>
      <c r="E59" s="4"/>
      <c r="F59" s="38"/>
      <c r="G59" s="38"/>
      <c r="H59" s="38"/>
      <c r="I59" s="38"/>
      <c r="J59" s="38"/>
      <c r="K59" s="13"/>
    </row>
    <row r="60" spans="1:11" x14ac:dyDescent="0.2">
      <c r="A60" s="4"/>
      <c r="B60" s="4"/>
      <c r="C60" s="4"/>
      <c r="D60" s="4"/>
      <c r="E60" s="4"/>
      <c r="F60" s="4"/>
      <c r="G60" s="4"/>
      <c r="H60" s="4"/>
      <c r="I60" s="4"/>
      <c r="J60" s="4"/>
    </row>
    <row r="61" spans="1:11" x14ac:dyDescent="0.2">
      <c r="A61" s="4"/>
      <c r="B61" s="4"/>
      <c r="C61" s="4"/>
      <c r="D61" s="4"/>
      <c r="E61" s="5"/>
      <c r="F61" s="4"/>
      <c r="G61" s="4"/>
      <c r="H61" s="4"/>
      <c r="I61" s="4"/>
      <c r="J61" s="4"/>
    </row>
    <row r="62" spans="1:11" x14ac:dyDescent="0.2">
      <c r="A62" s="4"/>
      <c r="B62" s="4"/>
      <c r="C62" s="4"/>
      <c r="D62" s="4"/>
      <c r="E62" s="5"/>
      <c r="F62" s="4"/>
      <c r="G62" s="4"/>
      <c r="H62" s="4"/>
      <c r="I62" s="4"/>
      <c r="J62" s="4"/>
    </row>
    <row r="63" spans="1:11" x14ac:dyDescent="0.2">
      <c r="A63" s="4"/>
      <c r="B63" s="4"/>
      <c r="C63" s="4"/>
      <c r="D63" s="4"/>
      <c r="E63" s="5"/>
      <c r="F63" s="4"/>
      <c r="G63" s="4"/>
      <c r="H63" s="4"/>
      <c r="I63" s="4"/>
      <c r="J63" s="4"/>
    </row>
    <row r="64" spans="1:11" x14ac:dyDescent="0.2">
      <c r="A64" s="4"/>
      <c r="B64" s="4"/>
      <c r="C64" s="4"/>
      <c r="D64" s="4"/>
      <c r="E64" s="5"/>
      <c r="F64" s="4"/>
      <c r="G64" s="4"/>
      <c r="H64" s="4"/>
      <c r="I64" s="4"/>
      <c r="J64" s="4"/>
    </row>
    <row r="65" spans="1:10" x14ac:dyDescent="0.2">
      <c r="A65" s="4"/>
      <c r="B65" s="4"/>
      <c r="C65" s="4"/>
      <c r="D65" s="4"/>
      <c r="E65" s="5"/>
      <c r="F65" s="4"/>
      <c r="G65" s="4"/>
      <c r="H65" s="4"/>
      <c r="I65" s="4"/>
      <c r="J65" s="4"/>
    </row>
    <row r="66" spans="1:10" x14ac:dyDescent="0.2">
      <c r="A66" s="4"/>
      <c r="B66" s="4"/>
      <c r="C66" s="4"/>
      <c r="D66" s="4"/>
      <c r="E66" s="5"/>
      <c r="F66" s="4"/>
      <c r="G66" s="4"/>
      <c r="H66" s="4"/>
      <c r="I66" s="4"/>
      <c r="J66" s="4"/>
    </row>
  </sheetData>
  <sheetProtection algorithmName="SHA-512" hashValue="NTFcZjBAhJc4MT/8onROCplNm4ORRrOmQ4d5tf9M3X58SZCCD+vxqLOLDHiGdCI4ygyKHAyj0v0tQY2DNT+bXg==" saltValue="3zCNOcWyzZexvzPRWc06jA==" spinCount="100000" sheet="1" objects="1" scenarios="1" selectLockedCells="1" selectUnlockedCells="1"/>
  <mergeCells count="2">
    <mergeCell ref="A1:I1"/>
    <mergeCell ref="A2:I2"/>
  </mergeCells>
  <printOptions horizontalCentered="1" verticalCentered="1"/>
  <pageMargins left="0.7" right="0.7" top="0.75" bottom="0.75" header="0.3" footer="0.3"/>
  <pageSetup scale="95" orientation="portrait" r:id="rId1"/>
  <headerFooter>
    <oddFooter>&amp;C&amp;9Iowa Stormwater Wetland Design Workbook - v1.02
Issued by IDALS - 2018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M67"/>
  <sheetViews>
    <sheetView view="pageBreakPreview" topLeftCell="A3" zoomScaleNormal="100" zoomScaleSheetLayoutView="100" workbookViewId="0">
      <selection activeCell="N31" sqref="N31"/>
    </sheetView>
  </sheetViews>
  <sheetFormatPr defaultColWidth="8.85546875" defaultRowHeight="12" x14ac:dyDescent="0.2"/>
  <cols>
    <col min="1" max="3" width="8.85546875" style="6"/>
    <col min="4" max="4" width="10" style="6" customWidth="1"/>
    <col min="5" max="11" width="8.85546875" style="6"/>
    <col min="12" max="12" width="12" style="142" customWidth="1"/>
    <col min="13" max="16384" width="8.85546875" style="6"/>
  </cols>
  <sheetData>
    <row r="1" spans="1:12" s="146" customFormat="1" ht="12.75" x14ac:dyDescent="0.2">
      <c r="A1" s="262" t="s">
        <v>120</v>
      </c>
      <c r="B1" s="262"/>
      <c r="C1" s="262"/>
      <c r="D1" s="262"/>
      <c r="E1" s="262"/>
      <c r="F1" s="262"/>
      <c r="G1" s="262"/>
      <c r="H1" s="262"/>
      <c r="I1" s="262"/>
      <c r="L1" s="143"/>
    </row>
    <row r="2" spans="1:12" s="146" customFormat="1" ht="12.75" x14ac:dyDescent="0.2">
      <c r="A2" s="265" t="s">
        <v>201</v>
      </c>
      <c r="B2" s="265"/>
      <c r="C2" s="265"/>
      <c r="D2" s="265"/>
      <c r="E2" s="265"/>
      <c r="F2" s="265"/>
      <c r="G2" s="265"/>
      <c r="H2" s="265"/>
      <c r="I2" s="265"/>
      <c r="L2" s="143"/>
    </row>
    <row r="3" spans="1:12" s="82" customFormat="1" x14ac:dyDescent="0.2">
      <c r="B3" s="147" t="s">
        <v>187</v>
      </c>
      <c r="C3" s="263" t="s">
        <v>188</v>
      </c>
      <c r="D3" s="263"/>
      <c r="E3" s="263"/>
      <c r="F3" s="263"/>
      <c r="G3" s="263"/>
      <c r="H3" s="263"/>
      <c r="I3" s="263"/>
      <c r="L3" s="142"/>
    </row>
    <row r="4" spans="1:12" s="148" customFormat="1" ht="3.6" customHeight="1" x14ac:dyDescent="0.2">
      <c r="B4" s="149"/>
      <c r="C4" s="150"/>
      <c r="D4" s="150"/>
      <c r="E4" s="150"/>
      <c r="F4" s="150"/>
      <c r="G4" s="150"/>
      <c r="H4" s="150"/>
      <c r="I4" s="150"/>
      <c r="L4" s="151"/>
    </row>
    <row r="5" spans="1:12" x14ac:dyDescent="0.2">
      <c r="A5" s="268" t="s">
        <v>121</v>
      </c>
      <c r="B5" s="268"/>
      <c r="C5" s="263" t="s">
        <v>268</v>
      </c>
      <c r="D5" s="263"/>
      <c r="E5" s="263"/>
      <c r="F5" s="147" t="s">
        <v>123</v>
      </c>
      <c r="G5" s="264">
        <f ca="1">TODAY()</f>
        <v>43220</v>
      </c>
      <c r="H5" s="263"/>
      <c r="I5" s="263"/>
    </row>
    <row r="6" spans="1:12" s="10" customFormat="1" ht="3" customHeight="1" x14ac:dyDescent="0.2">
      <c r="A6" s="149"/>
      <c r="B6" s="149"/>
      <c r="C6" s="150"/>
      <c r="D6" s="150"/>
      <c r="E6" s="150"/>
      <c r="F6" s="149"/>
      <c r="G6" s="150"/>
      <c r="H6" s="150"/>
      <c r="I6" s="150"/>
      <c r="L6" s="151"/>
    </row>
    <row r="7" spans="1:12" x14ac:dyDescent="0.2">
      <c r="A7" s="268" t="s">
        <v>122</v>
      </c>
      <c r="B7" s="268"/>
      <c r="C7" s="263" t="s">
        <v>267</v>
      </c>
      <c r="D7" s="263"/>
      <c r="E7" s="263"/>
      <c r="F7" s="147" t="s">
        <v>124</v>
      </c>
      <c r="G7" s="263" t="s">
        <v>189</v>
      </c>
      <c r="H7" s="263"/>
      <c r="I7" s="263"/>
    </row>
    <row r="8" spans="1:12" s="10" customFormat="1" ht="3.6" customHeight="1" x14ac:dyDescent="0.2">
      <c r="A8" s="149"/>
      <c r="B8" s="149"/>
      <c r="C8" s="150"/>
      <c r="D8" s="150"/>
      <c r="E8" s="150"/>
      <c r="F8" s="149"/>
      <c r="G8" s="150"/>
      <c r="H8" s="150"/>
      <c r="I8" s="150"/>
      <c r="L8" s="151"/>
    </row>
    <row r="9" spans="1:12" x14ac:dyDescent="0.2">
      <c r="A9" s="270" t="s">
        <v>301</v>
      </c>
      <c r="B9" s="270"/>
      <c r="C9" s="270"/>
      <c r="D9" s="270"/>
      <c r="E9" s="270"/>
      <c r="F9" s="270"/>
      <c r="G9" s="270"/>
      <c r="H9" s="270"/>
      <c r="I9" s="270"/>
      <c r="J9" s="270"/>
    </row>
    <row r="10" spans="1:12" ht="3.6" customHeight="1" x14ac:dyDescent="0.2"/>
    <row r="11" spans="1:12" x14ac:dyDescent="0.2">
      <c r="A11" s="152" t="s">
        <v>47</v>
      </c>
      <c r="B11" s="153"/>
      <c r="C11" s="153"/>
      <c r="D11" s="153"/>
      <c r="E11" s="153"/>
      <c r="F11" s="153"/>
      <c r="G11" s="153"/>
      <c r="H11" s="153"/>
      <c r="I11" s="153"/>
      <c r="J11" s="153"/>
    </row>
    <row r="13" spans="1:12" x14ac:dyDescent="0.2">
      <c r="A13" s="6" t="s">
        <v>23</v>
      </c>
      <c r="D13" s="82" t="s">
        <v>24</v>
      </c>
      <c r="E13" s="15"/>
      <c r="F13" s="6" t="s">
        <v>25</v>
      </c>
    </row>
    <row r="14" spans="1:12" x14ac:dyDescent="0.2">
      <c r="E14" s="15"/>
      <c r="F14" s="6" t="s">
        <v>26</v>
      </c>
    </row>
    <row r="15" spans="1:12" s="10" customFormat="1" ht="3.6" customHeight="1" x14ac:dyDescent="0.2">
      <c r="E15" s="151"/>
      <c r="L15" s="151"/>
    </row>
    <row r="16" spans="1:12" x14ac:dyDescent="0.2">
      <c r="F16" s="15"/>
      <c r="G16" s="6" t="s">
        <v>197</v>
      </c>
    </row>
    <row r="18" spans="1:13" x14ac:dyDescent="0.2">
      <c r="A18" s="6" t="s">
        <v>28</v>
      </c>
      <c r="D18" s="82" t="s">
        <v>29</v>
      </c>
      <c r="E18" s="15"/>
      <c r="F18" s="82" t="s">
        <v>31</v>
      </c>
      <c r="G18" s="15"/>
      <c r="H18" s="154"/>
      <c r="I18" s="154"/>
    </row>
    <row r="19" spans="1:13" x14ac:dyDescent="0.2">
      <c r="A19" s="6" t="s">
        <v>282</v>
      </c>
      <c r="D19" s="82" t="s">
        <v>30</v>
      </c>
      <c r="E19" s="15"/>
      <c r="F19" s="82" t="s">
        <v>32</v>
      </c>
      <c r="G19" s="15"/>
      <c r="H19" s="154"/>
      <c r="I19" s="154"/>
    </row>
    <row r="21" spans="1:13" x14ac:dyDescent="0.2">
      <c r="A21" s="6" t="s">
        <v>33</v>
      </c>
    </row>
    <row r="22" spans="1:13" x14ac:dyDescent="0.2">
      <c r="A22" s="267"/>
      <c r="B22" s="267"/>
      <c r="C22" s="267"/>
      <c r="D22" s="267"/>
      <c r="E22" s="267"/>
      <c r="F22" s="267"/>
      <c r="G22" s="267"/>
      <c r="H22" s="267"/>
      <c r="I22" s="267"/>
      <c r="J22" s="267"/>
    </row>
    <row r="24" spans="1:13" x14ac:dyDescent="0.2">
      <c r="A24" s="6" t="s">
        <v>34</v>
      </c>
      <c r="D24" s="82" t="s">
        <v>35</v>
      </c>
      <c r="E24" s="15"/>
      <c r="G24" s="82" t="s">
        <v>36</v>
      </c>
      <c r="H24" s="15"/>
    </row>
    <row r="25" spans="1:13" x14ac:dyDescent="0.2">
      <c r="A25" s="6" t="s">
        <v>282</v>
      </c>
      <c r="D25" s="82" t="s">
        <v>37</v>
      </c>
      <c r="E25" s="15"/>
      <c r="G25" s="82" t="s">
        <v>38</v>
      </c>
      <c r="H25" s="15"/>
    </row>
    <row r="26" spans="1:13" s="10" customFormat="1" ht="3" customHeight="1" x14ac:dyDescent="0.2">
      <c r="D26" s="148"/>
      <c r="E26" s="151"/>
      <c r="G26" s="148"/>
      <c r="H26" s="151"/>
      <c r="L26" s="151"/>
    </row>
    <row r="27" spans="1:13" x14ac:dyDescent="0.2">
      <c r="A27" s="6" t="s">
        <v>107</v>
      </c>
      <c r="C27" s="267"/>
      <c r="D27" s="267"/>
      <c r="E27" s="267"/>
      <c r="F27" s="267"/>
      <c r="G27" s="267"/>
      <c r="H27" s="267"/>
      <c r="I27" s="267"/>
      <c r="J27" s="267"/>
    </row>
    <row r="28" spans="1:13" x14ac:dyDescent="0.2">
      <c r="L28" s="155" t="s">
        <v>281</v>
      </c>
    </row>
    <row r="29" spans="1:13" x14ac:dyDescent="0.2">
      <c r="A29" s="6" t="s">
        <v>39</v>
      </c>
      <c r="C29" s="151">
        <f>IF(L29=0,'DE_1 - Watershed Info'!C44,L29)</f>
        <v>1</v>
      </c>
      <c r="D29" s="6" t="s">
        <v>40</v>
      </c>
      <c r="E29" s="156" t="str">
        <f>IF(L29&gt;0,"MANUAL"," ")</f>
        <v xml:space="preserve"> </v>
      </c>
      <c r="L29" s="141"/>
      <c r="M29" s="6" t="s">
        <v>284</v>
      </c>
    </row>
    <row r="31" spans="1:13" x14ac:dyDescent="0.2">
      <c r="A31" s="6" t="s">
        <v>44</v>
      </c>
      <c r="E31" s="16"/>
      <c r="F31" s="6" t="s">
        <v>41</v>
      </c>
      <c r="G31" s="6" t="str">
        <f>IF(L5&gt;0,"MANUAL"," ")</f>
        <v xml:space="preserve"> </v>
      </c>
    </row>
    <row r="33" spans="1:12" x14ac:dyDescent="0.2">
      <c r="A33" s="6" t="s">
        <v>42</v>
      </c>
      <c r="D33" s="15"/>
      <c r="E33" s="6" t="s">
        <v>43</v>
      </c>
    </row>
    <row r="35" spans="1:12" x14ac:dyDescent="0.2">
      <c r="A35" s="6" t="s">
        <v>45</v>
      </c>
      <c r="E35" s="15"/>
      <c r="F35" s="6" t="s">
        <v>46</v>
      </c>
    </row>
    <row r="37" spans="1:12" x14ac:dyDescent="0.2">
      <c r="A37" s="6" t="s">
        <v>74</v>
      </c>
      <c r="E37" s="15"/>
      <c r="F37" s="6" t="s">
        <v>46</v>
      </c>
    </row>
    <row r="38" spans="1:12" x14ac:dyDescent="0.2">
      <c r="A38" s="6" t="s">
        <v>196</v>
      </c>
      <c r="E38" s="15"/>
      <c r="F38" s="6" t="s">
        <v>46</v>
      </c>
    </row>
    <row r="39" spans="1:12" s="10" customFormat="1" ht="3.6" customHeight="1" x14ac:dyDescent="0.2">
      <c r="E39" s="151"/>
      <c r="L39" s="151"/>
    </row>
    <row r="40" spans="1:12" x14ac:dyDescent="0.2">
      <c r="A40" s="6" t="s">
        <v>239</v>
      </c>
      <c r="E40" s="15"/>
      <c r="F40" s="6" t="s">
        <v>46</v>
      </c>
    </row>
    <row r="41" spans="1:12" x14ac:dyDescent="0.2">
      <c r="A41" s="6" t="s">
        <v>240</v>
      </c>
      <c r="E41" s="15"/>
      <c r="F41" s="6" t="s">
        <v>46</v>
      </c>
    </row>
    <row r="43" spans="1:12" x14ac:dyDescent="0.2">
      <c r="A43" s="157" t="s">
        <v>48</v>
      </c>
      <c r="B43" s="158"/>
      <c r="C43" s="158"/>
      <c r="D43" s="158"/>
      <c r="E43" s="158"/>
      <c r="F43" s="158"/>
      <c r="G43" s="158"/>
      <c r="H43" s="158"/>
      <c r="I43" s="158"/>
      <c r="J43" s="158"/>
    </row>
    <row r="45" spans="1:12" x14ac:dyDescent="0.2">
      <c r="A45" s="6" t="s">
        <v>49</v>
      </c>
      <c r="C45" s="17"/>
      <c r="D45" s="6" t="s">
        <v>50</v>
      </c>
      <c r="E45" s="17"/>
      <c r="F45" s="6" t="s">
        <v>51</v>
      </c>
      <c r="H45" s="17"/>
      <c r="I45" s="6" t="s">
        <v>52</v>
      </c>
    </row>
    <row r="46" spans="1:12" s="10" customFormat="1" ht="3.6" customHeight="1" x14ac:dyDescent="0.2">
      <c r="A46" s="271" t="s">
        <v>282</v>
      </c>
      <c r="B46" s="271"/>
      <c r="C46" s="151"/>
      <c r="E46" s="151"/>
      <c r="H46" s="151"/>
      <c r="L46" s="151"/>
    </row>
    <row r="47" spans="1:12" x14ac:dyDescent="0.2">
      <c r="A47" s="271"/>
      <c r="B47" s="271"/>
      <c r="C47" s="17"/>
      <c r="D47" s="6" t="s">
        <v>38</v>
      </c>
      <c r="E47" s="269"/>
      <c r="F47" s="269"/>
      <c r="G47" s="269"/>
      <c r="H47" s="269"/>
      <c r="I47" s="269"/>
      <c r="J47" s="269"/>
    </row>
    <row r="48" spans="1:12" x14ac:dyDescent="0.2">
      <c r="A48" s="271"/>
      <c r="B48" s="271"/>
    </row>
    <row r="49" spans="1:11" x14ac:dyDescent="0.2">
      <c r="C49" s="142" t="s">
        <v>198</v>
      </c>
    </row>
    <row r="50" spans="1:11" x14ac:dyDescent="0.2">
      <c r="A50" s="6" t="s">
        <v>199</v>
      </c>
      <c r="C50" s="17"/>
      <c r="D50" s="82" t="s">
        <v>200</v>
      </c>
      <c r="E50" s="269"/>
      <c r="F50" s="269"/>
      <c r="G50" s="269"/>
      <c r="H50" s="269"/>
      <c r="I50" s="269"/>
      <c r="J50" s="269"/>
    </row>
    <row r="51" spans="1:11" x14ac:dyDescent="0.2">
      <c r="A51" s="6" t="s">
        <v>53</v>
      </c>
      <c r="C51" s="17"/>
    </row>
    <row r="52" spans="1:11" x14ac:dyDescent="0.2">
      <c r="A52" s="6" t="s">
        <v>54</v>
      </c>
      <c r="C52" s="17"/>
      <c r="D52" s="82" t="s">
        <v>55</v>
      </c>
      <c r="E52" s="17"/>
      <c r="F52" s="6" t="s">
        <v>106</v>
      </c>
    </row>
    <row r="53" spans="1:11" x14ac:dyDescent="0.2">
      <c r="A53" s="6" t="s">
        <v>56</v>
      </c>
      <c r="C53" s="17"/>
    </row>
    <row r="54" spans="1:11" x14ac:dyDescent="0.2">
      <c r="A54" s="6" t="s">
        <v>57</v>
      </c>
      <c r="C54" s="17"/>
    </row>
    <row r="55" spans="1:11" x14ac:dyDescent="0.2">
      <c r="A55" s="6" t="s">
        <v>58</v>
      </c>
      <c r="C55" s="17"/>
    </row>
    <row r="56" spans="1:11" x14ac:dyDescent="0.2">
      <c r="A56" s="6" t="s">
        <v>59</v>
      </c>
      <c r="C56" s="17"/>
    </row>
    <row r="58" spans="1:11" x14ac:dyDescent="0.2">
      <c r="A58" s="6" t="s">
        <v>283</v>
      </c>
      <c r="D58" s="269"/>
      <c r="E58" s="269"/>
      <c r="F58" s="269"/>
      <c r="G58" s="269"/>
      <c r="H58" s="269"/>
      <c r="I58" s="269"/>
      <c r="J58" s="269"/>
    </row>
    <row r="59" spans="1:11" x14ac:dyDescent="0.2">
      <c r="A59" s="6" t="s">
        <v>263</v>
      </c>
      <c r="F59" s="266"/>
      <c r="G59" s="266"/>
      <c r="H59" s="266"/>
      <c r="I59" s="266"/>
      <c r="J59" s="266"/>
      <c r="K59" s="160"/>
    </row>
    <row r="60" spans="1:11" x14ac:dyDescent="0.2">
      <c r="F60" s="266"/>
      <c r="G60" s="266"/>
      <c r="H60" s="266"/>
      <c r="I60" s="266"/>
      <c r="J60" s="266"/>
      <c r="K60" s="160"/>
    </row>
    <row r="62" spans="1:11" x14ac:dyDescent="0.2">
      <c r="A62" s="6" t="s">
        <v>60</v>
      </c>
      <c r="C62" s="6" t="s">
        <v>61</v>
      </c>
      <c r="E62" s="17"/>
      <c r="F62" s="6" t="s">
        <v>63</v>
      </c>
    </row>
    <row r="63" spans="1:11" x14ac:dyDescent="0.2">
      <c r="C63" s="6" t="s">
        <v>62</v>
      </c>
      <c r="E63" s="17"/>
      <c r="F63" s="6" t="s">
        <v>67</v>
      </c>
    </row>
    <row r="64" spans="1:11" x14ac:dyDescent="0.2">
      <c r="C64" s="6" t="s">
        <v>64</v>
      </c>
      <c r="E64" s="17"/>
      <c r="F64" s="6" t="s">
        <v>68</v>
      </c>
    </row>
    <row r="65" spans="3:6" x14ac:dyDescent="0.2">
      <c r="C65" s="6" t="s">
        <v>65</v>
      </c>
      <c r="E65" s="17"/>
      <c r="F65" s="6" t="s">
        <v>66</v>
      </c>
    </row>
    <row r="66" spans="3:6" x14ac:dyDescent="0.2">
      <c r="C66" s="6" t="s">
        <v>69</v>
      </c>
      <c r="E66" s="17"/>
      <c r="F66" s="6" t="s">
        <v>70</v>
      </c>
    </row>
    <row r="67" spans="3:6" x14ac:dyDescent="0.2">
      <c r="C67" s="6" t="s">
        <v>71</v>
      </c>
      <c r="E67" s="17"/>
      <c r="F67" s="6" t="s">
        <v>73</v>
      </c>
    </row>
  </sheetData>
  <sheetProtection algorithmName="SHA-512" hashValue="o+aamwVYcBadIK2N8OUUCzSM8uGLLQMWzAlPrBmDcI7CDm97hwfnop63SQ3y5OdlLaWmtT/pi/a9qaV3AUKT5w==" saltValue="vceaaYxfymJ80oNa+hNbAg==" spinCount="100000" sheet="1" selectLockedCells="1"/>
  <mergeCells count="17">
    <mergeCell ref="F59:J60"/>
    <mergeCell ref="C3:I3"/>
    <mergeCell ref="C27:J27"/>
    <mergeCell ref="A22:J22"/>
    <mergeCell ref="A5:B5"/>
    <mergeCell ref="A7:B7"/>
    <mergeCell ref="E47:J47"/>
    <mergeCell ref="E50:J50"/>
    <mergeCell ref="A9:J9"/>
    <mergeCell ref="A46:B48"/>
    <mergeCell ref="D58:J58"/>
    <mergeCell ref="A1:I1"/>
    <mergeCell ref="C5:E5"/>
    <mergeCell ref="C7:E7"/>
    <mergeCell ref="G5:I5"/>
    <mergeCell ref="G7:I7"/>
    <mergeCell ref="A2:I2"/>
  </mergeCells>
  <printOptions horizontalCentered="1" verticalCentered="1"/>
  <pageMargins left="0.7" right="0.7" top="0.75" bottom="0.75" header="0.3" footer="0.3"/>
  <pageSetup scale="95" orientation="portrait" r:id="rId1"/>
  <headerFooter>
    <oddFooter>&amp;LCL_1: Screening / Planning&amp;C&amp;9Iowa Stormwater Wetland Design Workbook - v1.02
Issued by IDALS - 2018&amp;RPage 1</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L72"/>
  <sheetViews>
    <sheetView view="pageBreakPreview" zoomScaleNormal="100" zoomScaleSheetLayoutView="100" workbookViewId="0">
      <selection activeCell="N31" sqref="N31"/>
    </sheetView>
  </sheetViews>
  <sheetFormatPr defaultColWidth="8.85546875" defaultRowHeight="12" x14ac:dyDescent="0.2"/>
  <cols>
    <col min="1" max="1" width="17.140625" style="6" customWidth="1"/>
    <col min="2" max="4" width="8.85546875" style="6"/>
    <col min="5" max="5" width="9.5703125" style="6" customWidth="1"/>
    <col min="6" max="6" width="12.7109375" style="6" customWidth="1"/>
    <col min="7" max="10" width="8.85546875" style="6"/>
    <col min="11" max="11" width="14.28515625" style="6" customWidth="1"/>
    <col min="12" max="12" width="23.5703125" style="6" customWidth="1"/>
    <col min="13" max="16384" width="8.85546875" style="6"/>
  </cols>
  <sheetData>
    <row r="1" spans="1:12" s="146" customFormat="1" ht="12.75" x14ac:dyDescent="0.2">
      <c r="A1" s="262" t="s">
        <v>120</v>
      </c>
      <c r="B1" s="262"/>
      <c r="C1" s="262"/>
      <c r="D1" s="262"/>
      <c r="E1" s="262"/>
      <c r="F1" s="262"/>
      <c r="G1" s="262"/>
      <c r="H1" s="262"/>
      <c r="I1" s="262"/>
    </row>
    <row r="2" spans="1:12" s="146" customFormat="1" ht="12.75" x14ac:dyDescent="0.2">
      <c r="A2" s="265" t="s">
        <v>202</v>
      </c>
      <c r="B2" s="265"/>
      <c r="C2" s="265"/>
      <c r="D2" s="265"/>
      <c r="E2" s="265"/>
      <c r="F2" s="265"/>
      <c r="G2" s="265"/>
      <c r="H2" s="265"/>
      <c r="I2" s="265"/>
    </row>
    <row r="3" spans="1:12" s="82" customFormat="1" x14ac:dyDescent="0.2">
      <c r="B3" s="147" t="s">
        <v>187</v>
      </c>
      <c r="C3" s="273" t="str">
        <f>'CL_1 - Screening'!C3</f>
        <v>Project Name</v>
      </c>
      <c r="D3" s="273"/>
      <c r="E3" s="273"/>
      <c r="F3" s="273"/>
      <c r="G3" s="273"/>
      <c r="H3" s="273"/>
      <c r="I3" s="273"/>
    </row>
    <row r="4" spans="1:12" s="148" customFormat="1" ht="3.6" customHeight="1" x14ac:dyDescent="0.2">
      <c r="B4" s="149"/>
      <c r="C4" s="150"/>
      <c r="D4" s="150"/>
      <c r="E4" s="150"/>
      <c r="F4" s="150"/>
      <c r="G4" s="150"/>
      <c r="H4" s="150"/>
      <c r="I4" s="150"/>
    </row>
    <row r="5" spans="1:12" x14ac:dyDescent="0.2">
      <c r="A5" s="268" t="s">
        <v>121</v>
      </c>
      <c r="B5" s="268"/>
      <c r="C5" s="273" t="str">
        <f>'CL_1 - Screening'!C5</f>
        <v>Applicant name</v>
      </c>
      <c r="D5" s="273"/>
      <c r="E5" s="273"/>
      <c r="F5" s="149" t="s">
        <v>123</v>
      </c>
      <c r="G5" s="274">
        <f ca="1">'CL_1 - Screening'!G5</f>
        <v>43220</v>
      </c>
      <c r="H5" s="273"/>
      <c r="I5" s="273"/>
    </row>
    <row r="6" spans="1:12" ht="3.6" customHeight="1" x14ac:dyDescent="0.2">
      <c r="A6" s="147"/>
      <c r="B6" s="147"/>
      <c r="C6" s="150"/>
      <c r="D6" s="150"/>
      <c r="E6" s="150"/>
      <c r="F6" s="149"/>
      <c r="G6" s="161"/>
      <c r="H6" s="150"/>
      <c r="I6" s="150"/>
    </row>
    <row r="7" spans="1:12" x14ac:dyDescent="0.2">
      <c r="A7" s="272" t="s">
        <v>256</v>
      </c>
      <c r="B7" s="272"/>
      <c r="C7" s="272"/>
      <c r="D7" s="272"/>
      <c r="E7" s="272"/>
      <c r="F7" s="272"/>
      <c r="G7" s="272"/>
      <c r="H7" s="272"/>
      <c r="I7" s="272"/>
      <c r="J7" s="162"/>
    </row>
    <row r="8" spans="1:12" ht="3.6" customHeight="1" x14ac:dyDescent="0.2">
      <c r="A8" s="163"/>
      <c r="B8" s="163"/>
      <c r="C8" s="163"/>
      <c r="D8" s="163"/>
      <c r="E8" s="163"/>
      <c r="F8" s="163"/>
      <c r="G8" s="163"/>
      <c r="H8" s="163"/>
      <c r="I8" s="163"/>
      <c r="J8" s="163"/>
    </row>
    <row r="9" spans="1:12" ht="12" customHeight="1" x14ac:dyDescent="0.2">
      <c r="A9" s="164" t="s">
        <v>203</v>
      </c>
      <c r="B9" s="165"/>
      <c r="C9" s="165"/>
      <c r="D9" s="165"/>
      <c r="E9" s="165"/>
      <c r="F9" s="165"/>
      <c r="G9" s="165"/>
      <c r="H9" s="165"/>
      <c r="I9" s="165"/>
      <c r="J9" s="163"/>
    </row>
    <row r="10" spans="1:12" ht="12" customHeight="1" x14ac:dyDescent="0.2">
      <c r="A10" s="163"/>
      <c r="B10" s="163"/>
      <c r="C10" s="163"/>
      <c r="D10" s="163"/>
      <c r="E10" s="163"/>
      <c r="F10" s="163"/>
      <c r="G10" s="163"/>
      <c r="H10" s="163"/>
      <c r="I10" s="163"/>
      <c r="J10" s="163"/>
      <c r="K10" s="166" t="s">
        <v>281</v>
      </c>
      <c r="L10" s="96"/>
    </row>
    <row r="11" spans="1:12" ht="12" customHeight="1" x14ac:dyDescent="0.2">
      <c r="A11" s="167" t="s">
        <v>93</v>
      </c>
      <c r="B11" s="163" t="s">
        <v>204</v>
      </c>
      <c r="C11" s="168">
        <f>IF(K11=0,'DE_1 - Watershed Info'!F45,K11)</f>
        <v>2268.7499999999995</v>
      </c>
      <c r="D11" s="6" t="s">
        <v>101</v>
      </c>
      <c r="E11" s="163" t="s">
        <v>205</v>
      </c>
      <c r="F11" s="168">
        <f>'Step 5-7 Final Storage Volumes'!G52+MIN('Step 4 - Pre-treat'!B8,('Step 4 - Pre-treat'!B9+'Step 4 - Pre-treat'!D47))</f>
        <v>0</v>
      </c>
      <c r="G11" s="163" t="s">
        <v>218</v>
      </c>
      <c r="H11" s="106" t="str">
        <f>IF(F11/C11&gt;=1,"OK","!")</f>
        <v>!</v>
      </c>
      <c r="I11" s="156" t="str">
        <f>IF(K11&gt;0,"MANUAL"," ")</f>
        <v xml:space="preserve"> </v>
      </c>
      <c r="J11" s="163"/>
      <c r="K11" s="139">
        <v>0</v>
      </c>
      <c r="L11" s="56" t="s">
        <v>285</v>
      </c>
    </row>
    <row r="12" spans="1:12" ht="12" customHeight="1" x14ac:dyDescent="0.2">
      <c r="A12" s="167" t="s">
        <v>217</v>
      </c>
      <c r="B12" s="163" t="s">
        <v>204</v>
      </c>
      <c r="C12" s="168">
        <f>IF(K12=0,'Step 4 - Pre-treat'!B8,K12)</f>
        <v>226.87499999999997</v>
      </c>
      <c r="D12" s="6" t="s">
        <v>101</v>
      </c>
      <c r="E12" s="163" t="s">
        <v>205</v>
      </c>
      <c r="F12" s="168">
        <f>'Step 4 - Pre-treat'!D47+'Step 4 - Pre-treat'!B9</f>
        <v>0</v>
      </c>
      <c r="G12" s="163" t="s">
        <v>101</v>
      </c>
      <c r="H12" s="106" t="str">
        <f>IF(F12/C12&gt;=1,"OK","!")</f>
        <v>!</v>
      </c>
      <c r="I12" s="156" t="str">
        <f>IF(K12&gt;0,"MANUAL"," ")</f>
        <v xml:space="preserve"> </v>
      </c>
      <c r="J12" s="163"/>
      <c r="K12" s="140">
        <v>0</v>
      </c>
      <c r="L12" s="58" t="s">
        <v>286</v>
      </c>
    </row>
    <row r="13" spans="1:12" s="172" customFormat="1" ht="12" customHeight="1" x14ac:dyDescent="0.2">
      <c r="A13" s="169" t="s">
        <v>219</v>
      </c>
      <c r="B13" s="170"/>
      <c r="C13" s="171"/>
      <c r="E13" s="170"/>
      <c r="F13" s="171"/>
      <c r="G13" s="170"/>
      <c r="H13" s="173"/>
      <c r="I13" s="170"/>
      <c r="J13" s="170"/>
    </row>
    <row r="14" spans="1:12" ht="12" customHeight="1" x14ac:dyDescent="0.2">
      <c r="A14" s="163" t="s">
        <v>224</v>
      </c>
      <c r="B14" s="163"/>
      <c r="C14" s="168"/>
      <c r="E14" s="163"/>
      <c r="F14" s="18"/>
      <c r="G14" s="163" t="s">
        <v>46</v>
      </c>
      <c r="H14" s="106"/>
      <c r="I14" s="163"/>
      <c r="J14" s="163"/>
    </row>
    <row r="15" spans="1:12" ht="12" customHeight="1" x14ac:dyDescent="0.2">
      <c r="A15" s="163"/>
      <c r="B15" s="163"/>
      <c r="C15" s="163"/>
      <c r="D15" s="163"/>
      <c r="E15" s="163"/>
      <c r="F15" s="163"/>
      <c r="G15" s="163"/>
      <c r="H15" s="163"/>
      <c r="I15" s="163"/>
      <c r="J15" s="163"/>
    </row>
    <row r="16" spans="1:12" s="10" customFormat="1" ht="12" customHeight="1" x14ac:dyDescent="0.2">
      <c r="A16" s="174"/>
      <c r="B16" s="175" t="s">
        <v>206</v>
      </c>
      <c r="C16" s="175" t="s">
        <v>207</v>
      </c>
      <c r="D16" s="175" t="s">
        <v>208</v>
      </c>
      <c r="E16" s="175" t="s">
        <v>209</v>
      </c>
      <c r="F16" s="175" t="s">
        <v>210</v>
      </c>
      <c r="G16" s="175" t="s">
        <v>211</v>
      </c>
      <c r="H16" s="175" t="s">
        <v>212</v>
      </c>
      <c r="I16" s="163"/>
      <c r="J16" s="163"/>
    </row>
    <row r="17" spans="1:12" ht="12" customHeight="1" x14ac:dyDescent="0.2">
      <c r="A17" s="167" t="s">
        <v>213</v>
      </c>
      <c r="B17" s="176">
        <f>'Step 9 - Results'!B13</f>
        <v>0</v>
      </c>
      <c r="C17" s="176">
        <f>'Step 9 - Results'!B14</f>
        <v>0</v>
      </c>
      <c r="D17" s="176">
        <f>'Step 9 - Results'!B15</f>
        <v>0</v>
      </c>
      <c r="E17" s="176">
        <f>'Step 9 - Results'!B16</f>
        <v>0</v>
      </c>
      <c r="F17" s="176">
        <f>'Step 9 - Results'!B17</f>
        <v>0</v>
      </c>
      <c r="G17" s="176">
        <f>'Step 9 - Results'!B18</f>
        <v>0</v>
      </c>
      <c r="H17" s="176">
        <f>'Step 9 - Results'!B19</f>
        <v>0</v>
      </c>
      <c r="I17" s="163"/>
      <c r="J17" s="163"/>
    </row>
    <row r="18" spans="1:12" ht="12" customHeight="1" x14ac:dyDescent="0.2">
      <c r="A18" s="167" t="s">
        <v>214</v>
      </c>
      <c r="B18" s="176">
        <f>'Step 9 - Results'!C13</f>
        <v>0</v>
      </c>
      <c r="C18" s="176">
        <f>'Step 9 - Results'!C14</f>
        <v>0</v>
      </c>
      <c r="D18" s="176">
        <f>'Step 9 - Results'!C15</f>
        <v>0</v>
      </c>
      <c r="E18" s="176">
        <f>'Step 9 - Results'!C16</f>
        <v>0</v>
      </c>
      <c r="F18" s="176">
        <f>'Step 9 - Results'!C17</f>
        <v>0</v>
      </c>
      <c r="G18" s="176">
        <f>'Step 9 - Results'!C18</f>
        <v>0</v>
      </c>
      <c r="H18" s="176">
        <f>'Step 9 - Results'!C19</f>
        <v>0</v>
      </c>
      <c r="I18" s="163"/>
      <c r="J18" s="163"/>
    </row>
    <row r="19" spans="1:12" ht="3.6" customHeight="1" x14ac:dyDescent="0.2">
      <c r="A19" s="167"/>
      <c r="B19" s="176"/>
      <c r="C19" s="176"/>
      <c r="D19" s="176"/>
      <c r="E19" s="176"/>
      <c r="F19" s="176"/>
      <c r="G19" s="176"/>
      <c r="H19" s="176"/>
      <c r="I19" s="163"/>
      <c r="J19" s="163"/>
    </row>
    <row r="20" spans="1:12" ht="12" customHeight="1" x14ac:dyDescent="0.2">
      <c r="A20" s="167" t="s">
        <v>215</v>
      </c>
      <c r="B20" s="106" t="str">
        <f>IF(B18&lt;B17,"OK","!")</f>
        <v>!</v>
      </c>
      <c r="C20" s="106" t="str">
        <f t="shared" ref="C20:H20" si="0">IF(C18&lt;C17,"OK","!")</f>
        <v>!</v>
      </c>
      <c r="D20" s="106" t="str">
        <f t="shared" si="0"/>
        <v>!</v>
      </c>
      <c r="E20" s="106" t="str">
        <f t="shared" si="0"/>
        <v>!</v>
      </c>
      <c r="F20" s="106" t="str">
        <f t="shared" si="0"/>
        <v>!</v>
      </c>
      <c r="G20" s="106" t="str">
        <f t="shared" si="0"/>
        <v>!</v>
      </c>
      <c r="H20" s="106" t="str">
        <f t="shared" si="0"/>
        <v>!</v>
      </c>
      <c r="I20" s="163"/>
      <c r="J20" s="163"/>
    </row>
    <row r="21" spans="1:12" ht="12" customHeight="1" x14ac:dyDescent="0.2">
      <c r="A21" s="163"/>
      <c r="B21" s="163"/>
      <c r="C21" s="163"/>
      <c r="D21" s="163"/>
      <c r="E21" s="163"/>
      <c r="F21" s="163"/>
      <c r="G21" s="163"/>
      <c r="H21" s="163"/>
      <c r="I21" s="163"/>
      <c r="J21" s="163"/>
    </row>
    <row r="22" spans="1:12" ht="12" customHeight="1" x14ac:dyDescent="0.2">
      <c r="A22" s="177"/>
      <c r="B22" s="178"/>
      <c r="C22" s="178"/>
      <c r="D22" s="179" t="s">
        <v>206</v>
      </c>
      <c r="E22" s="175" t="s">
        <v>209</v>
      </c>
      <c r="F22" s="175" t="s">
        <v>212</v>
      </c>
      <c r="G22" s="163"/>
      <c r="H22" s="163"/>
      <c r="I22" s="163"/>
      <c r="J22" s="163"/>
      <c r="K22" s="166" t="s">
        <v>281</v>
      </c>
      <c r="L22" s="96"/>
    </row>
    <row r="23" spans="1:12" ht="12" customHeight="1" x14ac:dyDescent="0.2">
      <c r="A23" s="163" t="s">
        <v>264</v>
      </c>
      <c r="D23" s="180">
        <f>IF(K23=0,'Step 9 - Results'!D13-I23,K24-K23)</f>
        <v>0</v>
      </c>
      <c r="E23" s="180">
        <f>IF(K23=0,'Step 9 - Results'!D16-I23,K25-K23)</f>
        <v>0</v>
      </c>
      <c r="F23" s="180">
        <f>IF(K23=0,'Step 9 - Results'!D19-'CL_2 - Design Summary'!I23,K26-K23)</f>
        <v>0</v>
      </c>
      <c r="G23" s="163" t="s">
        <v>216</v>
      </c>
      <c r="H23" s="163"/>
      <c r="I23" s="39">
        <f>IF(K23=0,'Step 5-7 Final Storage Volumes'!G5,K23)</f>
        <v>0</v>
      </c>
      <c r="J23" s="163"/>
      <c r="K23" s="138">
        <v>0</v>
      </c>
      <c r="L23" s="96" t="s">
        <v>216</v>
      </c>
    </row>
    <row r="24" spans="1:12" ht="12" customHeight="1" x14ac:dyDescent="0.2">
      <c r="A24" s="163"/>
      <c r="B24" s="163"/>
      <c r="C24" s="163"/>
      <c r="D24" s="106" t="str">
        <f>IF(D23&lt;=2.5,"OK","!")</f>
        <v>OK</v>
      </c>
      <c r="E24" s="106" t="str">
        <f>IF(E23&lt;=4,"OK","!")</f>
        <v>OK</v>
      </c>
      <c r="F24" s="106" t="str">
        <f>IF(F23&lt;=6,"OK","!")</f>
        <v>OK</v>
      </c>
      <c r="G24" s="163"/>
      <c r="H24" s="163"/>
      <c r="I24" s="156" t="str">
        <f>IF(K23&gt;0,"MANUAL"," ")</f>
        <v xml:space="preserve"> </v>
      </c>
      <c r="J24" s="163"/>
      <c r="K24" s="138">
        <v>0</v>
      </c>
      <c r="L24" s="96" t="s">
        <v>287</v>
      </c>
    </row>
    <row r="25" spans="1:12" ht="12" customHeight="1" x14ac:dyDescent="0.2">
      <c r="A25" s="163"/>
      <c r="B25" s="163"/>
      <c r="C25" s="163"/>
      <c r="D25" s="156" t="str">
        <f>IF(K24&gt;0,"MANUAL"," ")</f>
        <v xml:space="preserve"> </v>
      </c>
      <c r="E25" s="156" t="str">
        <f>IF(K25&gt;0,"MANUAL"," ")</f>
        <v xml:space="preserve"> </v>
      </c>
      <c r="F25" s="156" t="str">
        <f>IF(K26&gt;0,"MANUAL"," ")</f>
        <v xml:space="preserve"> </v>
      </c>
      <c r="G25" s="163"/>
      <c r="H25" s="163"/>
      <c r="I25" s="163"/>
      <c r="J25" s="163"/>
      <c r="K25" s="138">
        <v>0</v>
      </c>
      <c r="L25" s="96" t="s">
        <v>288</v>
      </c>
    </row>
    <row r="26" spans="1:12" ht="12" customHeight="1" x14ac:dyDescent="0.2">
      <c r="A26" s="181" t="s">
        <v>220</v>
      </c>
      <c r="B26" s="182"/>
      <c r="C26" s="182"/>
      <c r="D26" s="182"/>
      <c r="E26" s="182"/>
      <c r="F26" s="182"/>
      <c r="G26" s="182"/>
      <c r="H26" s="182"/>
      <c r="I26" s="182"/>
      <c r="J26" s="163"/>
      <c r="K26" s="138">
        <v>0</v>
      </c>
      <c r="L26" s="96" t="s">
        <v>289</v>
      </c>
    </row>
    <row r="27" spans="1:12" ht="12" customHeight="1" x14ac:dyDescent="0.2">
      <c r="A27" s="167"/>
      <c r="B27" s="163"/>
      <c r="C27" s="163"/>
      <c r="D27" s="163"/>
      <c r="E27" s="163"/>
      <c r="F27" s="163"/>
      <c r="G27" s="163"/>
      <c r="H27" s="163"/>
      <c r="I27" s="163"/>
      <c r="J27" s="163"/>
    </row>
    <row r="28" spans="1:12" ht="12" customHeight="1" x14ac:dyDescent="0.2">
      <c r="A28" s="167"/>
      <c r="B28" s="163"/>
      <c r="C28" s="163"/>
      <c r="D28" s="82" t="s">
        <v>237</v>
      </c>
      <c r="E28" s="183">
        <f>'Step 5-7 Final Storage Volumes'!C39/('CL_1 - Screening'!C29*43560)</f>
        <v>0</v>
      </c>
      <c r="F28" s="163" t="s">
        <v>238</v>
      </c>
      <c r="G28" s="163"/>
      <c r="H28" s="163"/>
      <c r="I28" s="163"/>
      <c r="J28" s="163"/>
    </row>
    <row r="29" spans="1:12" ht="12" customHeight="1" x14ac:dyDescent="0.2">
      <c r="A29" s="167"/>
      <c r="B29" s="163"/>
      <c r="C29" s="169" t="s">
        <v>236</v>
      </c>
      <c r="D29" s="82"/>
      <c r="E29" s="183"/>
      <c r="F29" s="163"/>
      <c r="G29" s="163"/>
      <c r="H29" s="163"/>
      <c r="I29" s="163"/>
      <c r="J29" s="163"/>
    </row>
    <row r="30" spans="1:12" ht="12" customHeight="1" x14ac:dyDescent="0.2">
      <c r="A30" s="167"/>
      <c r="B30" s="163"/>
      <c r="C30" s="163"/>
      <c r="D30" s="82"/>
      <c r="E30" s="183"/>
      <c r="F30" s="163"/>
      <c r="G30" s="163"/>
      <c r="H30" s="163"/>
      <c r="I30" s="163"/>
      <c r="J30" s="163"/>
    </row>
    <row r="31" spans="1:12" ht="12" customHeight="1" x14ac:dyDescent="0.2">
      <c r="B31" s="163"/>
      <c r="C31" s="163"/>
      <c r="D31" s="82" t="s">
        <v>155</v>
      </c>
      <c r="E31" s="84">
        <f>'Step 5-7 Final Storage Volumes'!E57</f>
        <v>0</v>
      </c>
      <c r="F31" s="6" t="s">
        <v>8</v>
      </c>
      <c r="G31" s="142" t="str">
        <f>IF(E31&gt;=1,"OK",IF(E31&gt;=0.5,"ED","!"))</f>
        <v>!</v>
      </c>
      <c r="H31" s="163" t="s">
        <v>221</v>
      </c>
      <c r="I31" s="163"/>
      <c r="J31" s="163"/>
    </row>
    <row r="32" spans="1:12" ht="12" customHeight="1" x14ac:dyDescent="0.2">
      <c r="A32" s="163"/>
      <c r="B32" s="163"/>
      <c r="C32" s="163"/>
      <c r="D32" s="142"/>
      <c r="E32" s="84"/>
      <c r="H32" s="163"/>
      <c r="I32" s="163"/>
      <c r="J32" s="163"/>
    </row>
    <row r="33" spans="1:10" ht="12" customHeight="1" x14ac:dyDescent="0.2">
      <c r="A33" s="163"/>
      <c r="B33" s="163"/>
      <c r="C33" s="163"/>
      <c r="D33" s="82" t="s">
        <v>6</v>
      </c>
      <c r="E33" s="84" t="e">
        <f>'Step 5-7 Final Storage Volumes'!E59</f>
        <v>#VALUE!</v>
      </c>
      <c r="F33" s="6" t="s">
        <v>8</v>
      </c>
      <c r="G33" s="142" t="e">
        <f>IF(E33&gt;=0.25,"OK","NO")</f>
        <v>#VALUE!</v>
      </c>
      <c r="H33" s="163" t="s">
        <v>222</v>
      </c>
      <c r="I33" s="163"/>
      <c r="J33" s="163"/>
    </row>
    <row r="34" spans="1:10" s="10" customFormat="1" ht="12" customHeight="1" x14ac:dyDescent="0.2">
      <c r="A34" s="163"/>
      <c r="B34" s="163"/>
      <c r="C34" s="163"/>
      <c r="D34" s="82" t="s">
        <v>13</v>
      </c>
      <c r="E34" s="84" t="e">
        <f>'Step 5-7 Final Storage Volumes'!E60</f>
        <v>#VALUE!</v>
      </c>
      <c r="F34" s="6"/>
      <c r="G34" s="6"/>
      <c r="H34" s="163"/>
      <c r="I34" s="163"/>
      <c r="J34" s="163"/>
    </row>
    <row r="35" spans="1:10" ht="12" customHeight="1" x14ac:dyDescent="0.2">
      <c r="A35" s="163"/>
      <c r="B35" s="163"/>
      <c r="C35" s="163"/>
      <c r="D35" s="82" t="s">
        <v>14</v>
      </c>
      <c r="E35" s="84" t="e">
        <f>'Step 5-7 Final Storage Volumes'!E61</f>
        <v>#VALUE!</v>
      </c>
      <c r="H35" s="163"/>
      <c r="I35" s="163"/>
      <c r="J35" s="163"/>
    </row>
    <row r="36" spans="1:10" ht="12" customHeight="1" x14ac:dyDescent="0.2">
      <c r="A36" s="163"/>
      <c r="B36" s="163"/>
      <c r="C36" s="163"/>
      <c r="D36" s="82" t="s">
        <v>15</v>
      </c>
      <c r="E36" s="84" t="e">
        <f>'Step 5-7 Final Storage Volumes'!E62</f>
        <v>#VALUE!</v>
      </c>
      <c r="F36" s="6" t="s">
        <v>223</v>
      </c>
      <c r="G36" s="142" t="e">
        <f>IF(E36&lt;=0.2,"OK","!")</f>
        <v>#VALUE!</v>
      </c>
      <c r="H36" s="163" t="s">
        <v>16</v>
      </c>
      <c r="I36" s="163"/>
      <c r="J36" s="163"/>
    </row>
    <row r="37" spans="1:10" ht="12" customHeight="1" x14ac:dyDescent="0.2">
      <c r="A37" s="163"/>
      <c r="B37" s="163"/>
      <c r="C37" s="163"/>
      <c r="D37" s="82" t="s">
        <v>9</v>
      </c>
      <c r="E37" s="84" t="e">
        <f>'Step 5-7 Final Storage Volumes'!E63</f>
        <v>#DIV/0!</v>
      </c>
      <c r="F37" s="6" t="s">
        <v>223</v>
      </c>
      <c r="G37" s="142" t="e">
        <f>IF(E37&lt;=0.25,"OK","NO")</f>
        <v>#DIV/0!</v>
      </c>
      <c r="H37" s="163" t="s">
        <v>11</v>
      </c>
      <c r="I37" s="163"/>
      <c r="J37" s="163"/>
    </row>
    <row r="38" spans="1:10" ht="12" customHeight="1" x14ac:dyDescent="0.2">
      <c r="A38" s="163"/>
      <c r="B38" s="163"/>
      <c r="C38" s="163"/>
      <c r="D38" s="82" t="s">
        <v>10</v>
      </c>
      <c r="E38" s="84" t="e">
        <f>'Step 5-7 Final Storage Volumes'!E64</f>
        <v>#DIV/0!</v>
      </c>
      <c r="F38" s="6" t="s">
        <v>223</v>
      </c>
      <c r="G38" s="142" t="e">
        <f>IF(E38&lt;=0.35,"OK","!")</f>
        <v>#DIV/0!</v>
      </c>
      <c r="H38" s="163" t="s">
        <v>12</v>
      </c>
      <c r="I38" s="163"/>
      <c r="J38" s="163"/>
    </row>
    <row r="39" spans="1:10" ht="12" customHeight="1" x14ac:dyDescent="0.2">
      <c r="A39" s="163"/>
      <c r="B39" s="163"/>
      <c r="C39" s="163"/>
      <c r="D39" s="82"/>
      <c r="E39" s="84"/>
      <c r="G39" s="142"/>
      <c r="H39" s="163"/>
      <c r="I39" s="163"/>
      <c r="J39" s="163"/>
    </row>
    <row r="40" spans="1:10" ht="12" customHeight="1" x14ac:dyDescent="0.2">
      <c r="A40" s="163"/>
      <c r="D40" s="148" t="s">
        <v>155</v>
      </c>
      <c r="E40" s="184">
        <f>'Step 5-7 Final Storage Volumes'!E52</f>
        <v>0</v>
      </c>
      <c r="F40" s="84" t="s">
        <v>233</v>
      </c>
      <c r="G40" s="142"/>
      <c r="H40" s="163"/>
      <c r="I40" s="163"/>
      <c r="J40" s="163"/>
    </row>
    <row r="41" spans="1:10" ht="12" customHeight="1" x14ac:dyDescent="0.2">
      <c r="A41" s="163"/>
      <c r="C41" s="163"/>
      <c r="D41" s="148" t="s">
        <v>22</v>
      </c>
      <c r="E41" s="184">
        <f>'Step 5-7 Final Storage Volumes'!E53</f>
        <v>0</v>
      </c>
      <c r="F41" s="84" t="s">
        <v>233</v>
      </c>
      <c r="G41" s="142"/>
      <c r="H41" s="163"/>
      <c r="I41" s="163"/>
      <c r="J41" s="163"/>
    </row>
    <row r="42" spans="1:10" ht="12" customHeight="1" x14ac:dyDescent="0.2">
      <c r="A42" s="163"/>
      <c r="C42" s="163"/>
      <c r="D42" s="148" t="s">
        <v>234</v>
      </c>
      <c r="E42" s="184">
        <f>SUM(E40:E41)</f>
        <v>0</v>
      </c>
      <c r="F42" s="84" t="s">
        <v>233</v>
      </c>
      <c r="G42" s="142"/>
      <c r="H42" s="163"/>
      <c r="I42" s="163"/>
      <c r="J42" s="163"/>
    </row>
    <row r="43" spans="1:10" ht="12" customHeight="1" x14ac:dyDescent="0.2">
      <c r="A43" s="163"/>
      <c r="B43" s="163"/>
      <c r="C43" s="163"/>
      <c r="D43" s="163"/>
      <c r="E43" s="163"/>
      <c r="F43" s="163"/>
      <c r="G43" s="163"/>
      <c r="H43" s="163"/>
      <c r="I43" s="163"/>
      <c r="J43" s="163"/>
    </row>
    <row r="44" spans="1:10" ht="12" customHeight="1" x14ac:dyDescent="0.2">
      <c r="A44" s="185" t="s">
        <v>225</v>
      </c>
      <c r="B44" s="185"/>
      <c r="C44" s="185"/>
      <c r="D44" s="185"/>
      <c r="E44" s="185"/>
      <c r="F44" s="185"/>
      <c r="G44" s="185"/>
      <c r="H44" s="185"/>
      <c r="I44" s="185"/>
      <c r="J44" s="163"/>
    </row>
    <row r="45" spans="1:10" ht="12" customHeight="1" x14ac:dyDescent="0.2">
      <c r="A45" s="163"/>
      <c r="B45" s="163"/>
      <c r="C45" s="163"/>
      <c r="D45" s="163"/>
      <c r="E45" s="163"/>
      <c r="F45" s="163"/>
      <c r="G45" s="163"/>
      <c r="H45" s="163"/>
      <c r="I45" s="163"/>
      <c r="J45" s="163"/>
    </row>
    <row r="46" spans="1:10" ht="12" customHeight="1" x14ac:dyDescent="0.2">
      <c r="A46" s="163" t="s">
        <v>226</v>
      </c>
      <c r="B46" s="163"/>
      <c r="C46" s="163"/>
      <c r="D46" s="163"/>
      <c r="E46" s="19"/>
      <c r="F46" s="163" t="s">
        <v>106</v>
      </c>
      <c r="G46" s="163"/>
      <c r="H46" s="163"/>
      <c r="I46" s="163"/>
      <c r="J46" s="163"/>
    </row>
    <row r="47" spans="1:10" ht="12" customHeight="1" x14ac:dyDescent="0.2">
      <c r="A47" s="163" t="s">
        <v>227</v>
      </c>
      <c r="B47" s="163"/>
      <c r="C47" s="163"/>
      <c r="D47" s="163"/>
      <c r="E47" s="19"/>
      <c r="F47" s="163" t="s">
        <v>106</v>
      </c>
      <c r="G47" s="163" t="s">
        <v>228</v>
      </c>
      <c r="H47" s="151" t="str">
        <f>IF(E46=0,"NA",E47/E46)</f>
        <v>NA</v>
      </c>
      <c r="I47" s="142" t="str">
        <f>IF(H47="NA"," ",IF(H47&gt;=3,"OK","!"))</f>
        <v xml:space="preserve"> </v>
      </c>
      <c r="J47" s="163"/>
    </row>
    <row r="48" spans="1:10" ht="12" customHeight="1" x14ac:dyDescent="0.2">
      <c r="A48" s="163"/>
      <c r="B48" s="163"/>
      <c r="C48" s="163"/>
      <c r="D48" s="163"/>
      <c r="E48" s="163"/>
      <c r="F48" s="163"/>
      <c r="G48" s="163"/>
      <c r="H48" s="163"/>
      <c r="I48" s="163"/>
      <c r="J48" s="163"/>
    </row>
    <row r="49" spans="1:10" ht="12" customHeight="1" x14ac:dyDescent="0.2">
      <c r="A49" s="163"/>
      <c r="C49" s="163"/>
      <c r="D49" s="163"/>
      <c r="E49" s="148" t="s">
        <v>229</v>
      </c>
      <c r="F49" s="19"/>
      <c r="G49" s="163" t="s">
        <v>230</v>
      </c>
      <c r="H49" s="142" t="str">
        <f>IF(F49=0," ",IF(F49&gt;=4,"OK","!"))</f>
        <v xml:space="preserve"> </v>
      </c>
      <c r="I49" s="163"/>
      <c r="J49" s="163"/>
    </row>
    <row r="50" spans="1:10" ht="12" customHeight="1" x14ac:dyDescent="0.2">
      <c r="A50" s="163"/>
      <c r="C50" s="163"/>
      <c r="D50" s="163"/>
      <c r="E50" s="148" t="s">
        <v>231</v>
      </c>
      <c r="F50" s="19"/>
      <c r="G50" s="163" t="s">
        <v>230</v>
      </c>
      <c r="H50" s="142" t="str">
        <f>IF(F50=0," ",IF(F50&gt;=6,"OK","!"))</f>
        <v xml:space="preserve"> </v>
      </c>
      <c r="I50" s="163"/>
      <c r="J50" s="163"/>
    </row>
    <row r="51" spans="1:10" ht="12" customHeight="1" x14ac:dyDescent="0.2">
      <c r="A51" s="163"/>
      <c r="C51" s="163"/>
      <c r="D51" s="163"/>
      <c r="E51" s="148" t="s">
        <v>232</v>
      </c>
      <c r="F51" s="19"/>
      <c r="G51" s="163" t="s">
        <v>46</v>
      </c>
      <c r="H51" s="142" t="str">
        <f>IF(F51="Y","OK","!")</f>
        <v>!</v>
      </c>
      <c r="I51" s="163"/>
      <c r="J51" s="163"/>
    </row>
    <row r="52" spans="1:10" ht="12" customHeight="1" x14ac:dyDescent="0.2">
      <c r="A52" s="163"/>
      <c r="B52" s="163"/>
      <c r="C52" s="163"/>
      <c r="D52" s="163"/>
      <c r="E52" s="163"/>
      <c r="F52" s="151"/>
      <c r="G52" s="163"/>
      <c r="H52" s="163"/>
      <c r="I52" s="163"/>
      <c r="J52" s="163"/>
    </row>
    <row r="53" spans="1:10" ht="12" customHeight="1" x14ac:dyDescent="0.2">
      <c r="A53" s="163"/>
      <c r="B53" s="163"/>
      <c r="C53" s="163"/>
      <c r="D53" s="163"/>
      <c r="E53" s="148" t="s">
        <v>235</v>
      </c>
      <c r="F53" s="19"/>
      <c r="G53" s="163" t="s">
        <v>106</v>
      </c>
      <c r="H53" s="163"/>
      <c r="I53" s="163"/>
      <c r="J53" s="163"/>
    </row>
    <row r="54" spans="1:10" ht="12" customHeight="1" x14ac:dyDescent="0.2">
      <c r="A54" s="163"/>
      <c r="B54" s="163"/>
      <c r="C54" s="163"/>
      <c r="D54" s="163"/>
      <c r="E54" s="163"/>
      <c r="F54" s="163"/>
      <c r="G54" s="163"/>
      <c r="H54" s="163"/>
      <c r="I54" s="163"/>
      <c r="J54" s="163"/>
    </row>
    <row r="55" spans="1:10" ht="12" customHeight="1" x14ac:dyDescent="0.2">
      <c r="A55" s="187" t="s">
        <v>241</v>
      </c>
      <c r="B55" s="187"/>
      <c r="C55" s="187"/>
      <c r="D55" s="187"/>
      <c r="E55" s="187"/>
      <c r="F55" s="187"/>
      <c r="G55" s="187"/>
      <c r="H55" s="187"/>
      <c r="I55" s="187"/>
      <c r="J55" s="163"/>
    </row>
    <row r="56" spans="1:10" ht="24" customHeight="1" x14ac:dyDescent="0.2">
      <c r="A56" s="163"/>
      <c r="B56" s="163"/>
      <c r="C56" s="163"/>
      <c r="D56" s="149" t="s">
        <v>245</v>
      </c>
      <c r="E56" s="188" t="s">
        <v>249</v>
      </c>
      <c r="G56" s="163"/>
      <c r="H56" s="163"/>
      <c r="I56" s="163"/>
      <c r="J56" s="163"/>
    </row>
    <row r="57" spans="1:10" ht="12" customHeight="1" x14ac:dyDescent="0.2">
      <c r="B57" s="163"/>
      <c r="C57" s="163"/>
      <c r="D57" s="148" t="s">
        <v>244</v>
      </c>
      <c r="E57" s="20"/>
      <c r="G57" s="148" t="s">
        <v>262</v>
      </c>
      <c r="H57" s="20"/>
      <c r="I57" s="150" t="s">
        <v>46</v>
      </c>
      <c r="J57" s="163"/>
    </row>
    <row r="58" spans="1:10" ht="12" customHeight="1" x14ac:dyDescent="0.2">
      <c r="B58" s="163"/>
      <c r="C58" s="163"/>
      <c r="D58" s="148" t="s">
        <v>251</v>
      </c>
      <c r="E58" s="20"/>
      <c r="G58" s="163"/>
      <c r="H58" s="163"/>
      <c r="I58" s="163"/>
      <c r="J58" s="163"/>
    </row>
    <row r="59" spans="1:10" ht="12" customHeight="1" x14ac:dyDescent="0.2">
      <c r="B59" s="163"/>
      <c r="C59" s="163"/>
      <c r="D59" s="148" t="s">
        <v>252</v>
      </c>
      <c r="E59" s="20"/>
      <c r="G59" s="163"/>
      <c r="H59" s="163"/>
      <c r="I59" s="163"/>
      <c r="J59" s="163"/>
    </row>
    <row r="60" spans="1:10" x14ac:dyDescent="0.2">
      <c r="B60" s="10"/>
      <c r="C60" s="151"/>
      <c r="D60" s="148" t="s">
        <v>246</v>
      </c>
      <c r="E60" s="20"/>
      <c r="G60" s="10"/>
      <c r="H60" s="10"/>
      <c r="I60" s="10"/>
      <c r="J60" s="10"/>
    </row>
    <row r="61" spans="1:10" x14ac:dyDescent="0.2">
      <c r="B61" s="10"/>
      <c r="C61" s="151"/>
      <c r="D61" s="148" t="s">
        <v>247</v>
      </c>
      <c r="E61" s="20"/>
      <c r="G61" s="10"/>
      <c r="I61" s="10"/>
      <c r="J61" s="10"/>
    </row>
    <row r="62" spans="1:10" x14ac:dyDescent="0.2">
      <c r="B62" s="10"/>
      <c r="C62" s="151"/>
      <c r="D62" s="148" t="s">
        <v>242</v>
      </c>
      <c r="E62" s="20"/>
      <c r="F62" s="10"/>
      <c r="G62" s="148" t="s">
        <v>243</v>
      </c>
      <c r="H62" s="20"/>
      <c r="I62" s="150" t="s">
        <v>46</v>
      </c>
      <c r="J62" s="10"/>
    </row>
    <row r="63" spans="1:10" x14ac:dyDescent="0.2">
      <c r="B63" s="10"/>
      <c r="C63" s="151"/>
      <c r="D63" s="148" t="s">
        <v>248</v>
      </c>
      <c r="E63" s="20"/>
      <c r="G63" s="148" t="s">
        <v>250</v>
      </c>
      <c r="H63" s="20"/>
      <c r="I63" s="150" t="s">
        <v>46</v>
      </c>
      <c r="J63" s="10"/>
    </row>
    <row r="64" spans="1:10" x14ac:dyDescent="0.2">
      <c r="A64" s="10"/>
      <c r="B64" s="10"/>
      <c r="C64" s="151"/>
      <c r="D64" s="10"/>
      <c r="E64" s="10"/>
      <c r="F64" s="10"/>
      <c r="G64" s="10"/>
      <c r="H64" s="10"/>
      <c r="I64" s="10"/>
      <c r="J64" s="10"/>
    </row>
    <row r="65" spans="1:10" x14ac:dyDescent="0.2">
      <c r="A65" s="10"/>
      <c r="B65" s="10"/>
      <c r="C65" s="151"/>
      <c r="D65" s="10"/>
      <c r="E65" s="10"/>
      <c r="F65" s="10"/>
      <c r="G65" s="10"/>
      <c r="H65" s="10"/>
      <c r="I65" s="10"/>
      <c r="J65" s="10"/>
    </row>
    <row r="66" spans="1:10" x14ac:dyDescent="0.2">
      <c r="A66" s="10"/>
      <c r="B66" s="10"/>
      <c r="C66" s="10"/>
      <c r="D66" s="10"/>
      <c r="E66" s="10"/>
      <c r="F66" s="10"/>
      <c r="G66" s="10"/>
      <c r="H66" s="10"/>
      <c r="I66" s="10"/>
      <c r="J66" s="10"/>
    </row>
    <row r="67" spans="1:10" x14ac:dyDescent="0.2">
      <c r="A67" s="10"/>
      <c r="B67" s="10"/>
      <c r="C67" s="10"/>
      <c r="D67" s="10"/>
      <c r="E67" s="151"/>
      <c r="F67" s="10"/>
      <c r="G67" s="10"/>
      <c r="H67" s="10"/>
      <c r="I67" s="10"/>
      <c r="J67" s="10"/>
    </row>
    <row r="68" spans="1:10" x14ac:dyDescent="0.2">
      <c r="A68" s="10"/>
      <c r="B68" s="10"/>
      <c r="C68" s="10"/>
      <c r="D68" s="10"/>
      <c r="E68" s="151"/>
      <c r="F68" s="10"/>
      <c r="G68" s="10"/>
      <c r="H68" s="10"/>
      <c r="I68" s="10"/>
      <c r="J68" s="10"/>
    </row>
    <row r="69" spans="1:10" x14ac:dyDescent="0.2">
      <c r="A69" s="10"/>
      <c r="B69" s="10"/>
      <c r="C69" s="10"/>
      <c r="D69" s="10"/>
      <c r="E69" s="151"/>
      <c r="F69" s="10"/>
      <c r="G69" s="10"/>
      <c r="H69" s="10"/>
      <c r="I69" s="10"/>
      <c r="J69" s="10"/>
    </row>
    <row r="70" spans="1:10" x14ac:dyDescent="0.2">
      <c r="A70" s="10"/>
      <c r="B70" s="10"/>
      <c r="C70" s="10"/>
      <c r="D70" s="10"/>
      <c r="E70" s="151"/>
      <c r="F70" s="10"/>
      <c r="G70" s="10"/>
      <c r="H70" s="10"/>
      <c r="I70" s="10"/>
      <c r="J70" s="10"/>
    </row>
    <row r="71" spans="1:10" x14ac:dyDescent="0.2">
      <c r="A71" s="10"/>
      <c r="B71" s="10"/>
      <c r="C71" s="10"/>
      <c r="D71" s="10"/>
      <c r="E71" s="151"/>
      <c r="F71" s="10"/>
      <c r="G71" s="10"/>
      <c r="H71" s="10"/>
      <c r="I71" s="10"/>
      <c r="J71" s="10"/>
    </row>
    <row r="72" spans="1:10" x14ac:dyDescent="0.2">
      <c r="A72" s="10"/>
      <c r="B72" s="10"/>
      <c r="C72" s="10"/>
      <c r="D72" s="10"/>
      <c r="E72" s="151"/>
      <c r="F72" s="10"/>
      <c r="G72" s="10"/>
      <c r="H72" s="10"/>
      <c r="I72" s="10"/>
      <c r="J72" s="10"/>
    </row>
  </sheetData>
  <sheetProtection algorithmName="SHA-512" hashValue="2aelTHSTbdCtwHdUSXSy8UQCKqRHHIppcAj1uYd+iTj/28Yhi8gsRDZbQUwGCQHhOmBfir2APm5ZaD37ws05/A==" saltValue="ydM2iwD9jYIUa+h6VxV2pw==" spinCount="100000" sheet="1" selectLockedCells="1"/>
  <mergeCells count="7">
    <mergeCell ref="A2:I2"/>
    <mergeCell ref="A7:I7"/>
    <mergeCell ref="A1:I1"/>
    <mergeCell ref="C3:I3"/>
    <mergeCell ref="A5:B5"/>
    <mergeCell ref="C5:E5"/>
    <mergeCell ref="G5:I5"/>
  </mergeCells>
  <conditionalFormatting sqref="H11:H14">
    <cfRule type="cellIs" dxfId="27" priority="24" operator="equal">
      <formula>"!"</formula>
    </cfRule>
    <cfRule type="cellIs" dxfId="26" priority="25" operator="equal">
      <formula>"OK"</formula>
    </cfRule>
  </conditionalFormatting>
  <conditionalFormatting sqref="B20:H20">
    <cfRule type="cellIs" dxfId="25" priority="22" operator="equal">
      <formula>"!"</formula>
    </cfRule>
    <cfRule type="cellIs" dxfId="24" priority="23" operator="equal">
      <formula>"OK"</formula>
    </cfRule>
  </conditionalFormatting>
  <conditionalFormatting sqref="D24:F24">
    <cfRule type="cellIs" dxfId="23" priority="20" operator="equal">
      <formula>"!"</formula>
    </cfRule>
    <cfRule type="cellIs" dxfId="22" priority="21" operator="equal">
      <formula>"OK"</formula>
    </cfRule>
  </conditionalFormatting>
  <conditionalFormatting sqref="G33">
    <cfRule type="cellIs" dxfId="21" priority="18" operator="equal">
      <formula>"!"</formula>
    </cfRule>
    <cfRule type="cellIs" dxfId="20" priority="19" operator="equal">
      <formula>"OK"</formula>
    </cfRule>
  </conditionalFormatting>
  <conditionalFormatting sqref="G36:G42">
    <cfRule type="cellIs" dxfId="19" priority="16" operator="equal">
      <formula>"!"</formula>
    </cfRule>
    <cfRule type="cellIs" dxfId="18" priority="17" operator="equal">
      <formula>"OK"</formula>
    </cfRule>
  </conditionalFormatting>
  <conditionalFormatting sqref="I47">
    <cfRule type="cellIs" dxfId="17" priority="12" operator="equal">
      <formula>"!"</formula>
    </cfRule>
    <cfRule type="cellIs" dxfId="16" priority="13" operator="equal">
      <formula>"OK"</formula>
    </cfRule>
  </conditionalFormatting>
  <conditionalFormatting sqref="H49:H51">
    <cfRule type="cellIs" dxfId="15" priority="10" operator="equal">
      <formula>"!"</formula>
    </cfRule>
    <cfRule type="cellIs" dxfId="14" priority="11" operator="equal">
      <formula>"OK"</formula>
    </cfRule>
  </conditionalFormatting>
  <conditionalFormatting sqref="H62:I62">
    <cfRule type="duplicateValues" dxfId="13" priority="5"/>
  </conditionalFormatting>
  <conditionalFormatting sqref="H57:I57">
    <cfRule type="duplicateValues" dxfId="12" priority="4"/>
  </conditionalFormatting>
  <conditionalFormatting sqref="G31">
    <cfRule type="cellIs" dxfId="11" priority="1" operator="equal">
      <formula>"ED"</formula>
    </cfRule>
    <cfRule type="cellIs" dxfId="10" priority="2" operator="equal">
      <formula>"!"</formula>
    </cfRule>
    <cfRule type="cellIs" dxfId="9" priority="3" operator="equal">
      <formula>"OK"</formula>
    </cfRule>
  </conditionalFormatting>
  <printOptions horizontalCentered="1" verticalCentered="1"/>
  <pageMargins left="0.7" right="0.7" top="0.75" bottom="0.75" header="0.3" footer="0.3"/>
  <pageSetup scale="93" orientation="portrait" r:id="rId1"/>
  <headerFooter>
    <oddFooter>&amp;LCL_2: Design Summary&amp;C&amp;9Iowa Stormwater Wetland Design Workbook - v1.02
Issued by IDALS - 2018&amp;RPage 2</oddFooter>
  </headerFooter>
  <rowBreaks count="1" manualBreakCount="1">
    <brk id="63" max="8"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N49"/>
  <sheetViews>
    <sheetView view="pageBreakPreview" zoomScaleNormal="100" zoomScaleSheetLayoutView="100" workbookViewId="0">
      <selection activeCell="N31" sqref="N31"/>
    </sheetView>
  </sheetViews>
  <sheetFormatPr defaultColWidth="8.85546875" defaultRowHeight="12" x14ac:dyDescent="0.2"/>
  <cols>
    <col min="1" max="1" width="8.85546875" style="6"/>
    <col min="2" max="2" width="15.5703125" style="6" customWidth="1"/>
    <col min="3" max="10" width="8.85546875" style="6"/>
    <col min="11" max="14" width="9.7109375" style="6" customWidth="1"/>
    <col min="15" max="16384" width="8.85546875" style="6"/>
  </cols>
  <sheetData>
    <row r="1" spans="1:14" ht="12.75" x14ac:dyDescent="0.2">
      <c r="A1" s="262" t="s">
        <v>253</v>
      </c>
      <c r="B1" s="262"/>
      <c r="C1" s="262"/>
      <c r="D1" s="262"/>
      <c r="E1" s="262"/>
      <c r="F1" s="262"/>
      <c r="G1" s="262"/>
      <c r="H1" s="262"/>
      <c r="I1" s="262"/>
    </row>
    <row r="2" spans="1:14" x14ac:dyDescent="0.2">
      <c r="A2" s="6" t="s">
        <v>187</v>
      </c>
      <c r="B2" s="279" t="str">
        <f>'CL_1 - Screening'!C3</f>
        <v>Project Name</v>
      </c>
      <c r="C2" s="279"/>
      <c r="D2" s="279"/>
      <c r="E2" s="279"/>
      <c r="F2" s="6" t="s">
        <v>123</v>
      </c>
      <c r="G2" s="280">
        <f ca="1">'CL_1 - Screening'!G5</f>
        <v>43220</v>
      </c>
      <c r="H2" s="280"/>
    </row>
    <row r="3" spans="1:14" x14ac:dyDescent="0.2">
      <c r="A3" s="189"/>
      <c r="B3" s="189"/>
      <c r="C3" s="189"/>
      <c r="D3" s="189"/>
      <c r="E3" s="189"/>
      <c r="F3" s="189"/>
    </row>
    <row r="4" spans="1:14" x14ac:dyDescent="0.2">
      <c r="A4" s="152" t="s">
        <v>75</v>
      </c>
      <c r="B4" s="152"/>
      <c r="C4" s="152"/>
      <c r="D4" s="152"/>
      <c r="E4" s="152"/>
      <c r="F4" s="152"/>
      <c r="G4" s="153"/>
      <c r="H4" s="153"/>
      <c r="I4" s="153"/>
    </row>
    <row r="5" spans="1:14" s="10" customFormat="1" ht="3.6" customHeight="1" x14ac:dyDescent="0.2">
      <c r="A5" s="61"/>
      <c r="B5" s="61"/>
      <c r="C5" s="61"/>
      <c r="D5" s="61"/>
      <c r="E5" s="61"/>
      <c r="F5" s="61"/>
    </row>
    <row r="6" spans="1:14" x14ac:dyDescent="0.2">
      <c r="A6" s="281" t="s">
        <v>116</v>
      </c>
      <c r="B6" s="281"/>
      <c r="C6" s="281"/>
      <c r="D6" s="281"/>
      <c r="E6" s="281"/>
      <c r="F6" s="281"/>
      <c r="G6" s="281"/>
      <c r="H6" s="281"/>
      <c r="I6" s="281"/>
    </row>
    <row r="7" spans="1:14" x14ac:dyDescent="0.2">
      <c r="A7" s="282" t="s">
        <v>290</v>
      </c>
      <c r="B7" s="282"/>
      <c r="C7" s="282"/>
      <c r="D7" s="282"/>
      <c r="E7" s="282"/>
      <c r="F7" s="282"/>
      <c r="G7" s="282"/>
      <c r="H7" s="282"/>
      <c r="I7" s="282"/>
    </row>
    <row r="9" spans="1:14" x14ac:dyDescent="0.2">
      <c r="A9" s="190" t="s">
        <v>103</v>
      </c>
      <c r="B9" s="190"/>
      <c r="C9" s="277" t="s">
        <v>27</v>
      </c>
      <c r="D9" s="277"/>
      <c r="E9" s="277"/>
      <c r="F9" s="277"/>
      <c r="G9" s="191"/>
      <c r="H9" s="191"/>
      <c r="I9" s="191"/>
    </row>
    <row r="10" spans="1:14" x14ac:dyDescent="0.2">
      <c r="A10" s="192" t="s">
        <v>77</v>
      </c>
      <c r="B10" s="192"/>
      <c r="C10" s="193" t="s">
        <v>29</v>
      </c>
      <c r="D10" s="193" t="s">
        <v>30</v>
      </c>
      <c r="E10" s="193" t="s">
        <v>31</v>
      </c>
      <c r="F10" s="193" t="s">
        <v>32</v>
      </c>
      <c r="K10" s="142" t="s">
        <v>29</v>
      </c>
      <c r="L10" s="142" t="s">
        <v>30</v>
      </c>
      <c r="M10" s="142" t="s">
        <v>31</v>
      </c>
      <c r="N10" s="142" t="s">
        <v>32</v>
      </c>
    </row>
    <row r="11" spans="1:14" x14ac:dyDescent="0.2">
      <c r="A11" s="6" t="s">
        <v>108</v>
      </c>
      <c r="C11" s="21">
        <v>0</v>
      </c>
      <c r="D11" s="21">
        <v>1</v>
      </c>
      <c r="E11" s="21">
        <v>0</v>
      </c>
      <c r="F11" s="21">
        <v>0</v>
      </c>
      <c r="K11" s="142">
        <v>30</v>
      </c>
      <c r="L11" s="142">
        <v>58</v>
      </c>
      <c r="M11" s="142">
        <v>71</v>
      </c>
      <c r="N11" s="142">
        <v>78</v>
      </c>
    </row>
    <row r="13" spans="1:14" x14ac:dyDescent="0.2">
      <c r="A13" s="6" t="s">
        <v>83</v>
      </c>
      <c r="C13" s="194">
        <f>SUM(C11:F11)</f>
        <v>1</v>
      </c>
      <c r="D13" s="6" t="s">
        <v>40</v>
      </c>
      <c r="F13" s="195"/>
      <c r="K13" s="6" t="s">
        <v>87</v>
      </c>
      <c r="L13" s="6">
        <v>1.25</v>
      </c>
      <c r="M13" s="6" t="s">
        <v>88</v>
      </c>
    </row>
    <row r="14" spans="1:14" x14ac:dyDescent="0.2">
      <c r="A14" s="6" t="s">
        <v>89</v>
      </c>
      <c r="C14" s="194">
        <f>ROUND(((C11*K11+D11*L11+E11*M11+F11*N11)/C13),0)</f>
        <v>58</v>
      </c>
      <c r="F14" s="196"/>
    </row>
    <row r="15" spans="1:14" x14ac:dyDescent="0.2">
      <c r="D15" s="142"/>
    </row>
    <row r="17" spans="1:14" x14ac:dyDescent="0.2">
      <c r="A17" s="197" t="s">
        <v>102</v>
      </c>
      <c r="B17" s="197"/>
      <c r="C17" s="278" t="s">
        <v>27</v>
      </c>
      <c r="D17" s="278"/>
      <c r="E17" s="278"/>
      <c r="F17" s="278"/>
      <c r="G17" s="198"/>
      <c r="H17" s="198"/>
      <c r="I17" s="198"/>
    </row>
    <row r="18" spans="1:14" x14ac:dyDescent="0.2">
      <c r="A18" s="192" t="s">
        <v>77</v>
      </c>
      <c r="B18" s="192"/>
      <c r="C18" s="193" t="s">
        <v>29</v>
      </c>
      <c r="D18" s="193" t="s">
        <v>30</v>
      </c>
      <c r="E18" s="193" t="s">
        <v>31</v>
      </c>
      <c r="F18" s="193" t="s">
        <v>32</v>
      </c>
      <c r="K18" s="276" t="s">
        <v>78</v>
      </c>
      <c r="L18" s="276"/>
      <c r="M18" s="276"/>
      <c r="N18" s="276"/>
    </row>
    <row r="19" spans="1:14" x14ac:dyDescent="0.2">
      <c r="A19" s="6" t="s">
        <v>76</v>
      </c>
      <c r="C19" s="21">
        <v>0</v>
      </c>
      <c r="D19" s="21">
        <v>0</v>
      </c>
      <c r="E19" s="21">
        <v>0</v>
      </c>
      <c r="F19" s="21">
        <v>0</v>
      </c>
      <c r="K19" s="142" t="s">
        <v>29</v>
      </c>
      <c r="L19" s="142" t="s">
        <v>30</v>
      </c>
      <c r="M19" s="142" t="s">
        <v>31</v>
      </c>
      <c r="N19" s="142" t="s">
        <v>32</v>
      </c>
    </row>
    <row r="20" spans="1:14" x14ac:dyDescent="0.2">
      <c r="A20" s="6" t="s">
        <v>79</v>
      </c>
      <c r="C20" s="21">
        <v>0</v>
      </c>
      <c r="D20" s="21">
        <v>0</v>
      </c>
      <c r="E20" s="21">
        <v>0</v>
      </c>
      <c r="F20" s="21">
        <v>0</v>
      </c>
      <c r="K20" s="142">
        <v>39</v>
      </c>
      <c r="L20" s="142">
        <v>61</v>
      </c>
      <c r="M20" s="142">
        <v>74</v>
      </c>
      <c r="N20" s="142">
        <v>80</v>
      </c>
    </row>
    <row r="21" spans="1:14" x14ac:dyDescent="0.2">
      <c r="A21" s="6" t="s">
        <v>80</v>
      </c>
      <c r="C21" s="21">
        <v>0</v>
      </c>
      <c r="D21" s="21">
        <v>0</v>
      </c>
      <c r="E21" s="21">
        <v>0</v>
      </c>
      <c r="F21" s="21">
        <v>0</v>
      </c>
      <c r="K21" s="142">
        <v>49</v>
      </c>
      <c r="L21" s="142">
        <v>69</v>
      </c>
      <c r="M21" s="142">
        <v>79</v>
      </c>
      <c r="N21" s="142">
        <v>84</v>
      </c>
    </row>
    <row r="22" spans="1:14" x14ac:dyDescent="0.2">
      <c r="A22" s="6" t="s">
        <v>81</v>
      </c>
      <c r="C22" s="21">
        <v>0</v>
      </c>
      <c r="D22" s="21">
        <v>0</v>
      </c>
      <c r="E22" s="21">
        <v>0</v>
      </c>
      <c r="F22" s="21">
        <v>0</v>
      </c>
      <c r="K22" s="142">
        <v>68</v>
      </c>
      <c r="L22" s="142">
        <v>79</v>
      </c>
      <c r="M22" s="142">
        <v>86</v>
      </c>
      <c r="N22" s="142">
        <v>89</v>
      </c>
    </row>
    <row r="23" spans="1:14" x14ac:dyDescent="0.2">
      <c r="A23" s="6" t="s">
        <v>110</v>
      </c>
      <c r="C23" s="21">
        <v>0</v>
      </c>
      <c r="D23" s="21">
        <v>1</v>
      </c>
      <c r="E23" s="21">
        <v>0</v>
      </c>
      <c r="F23" s="21">
        <v>0</v>
      </c>
      <c r="K23" s="142">
        <v>64</v>
      </c>
      <c r="L23" s="142">
        <v>74</v>
      </c>
      <c r="M23" s="142">
        <v>81</v>
      </c>
      <c r="N23" s="142">
        <v>85</v>
      </c>
    </row>
    <row r="24" spans="1:14" x14ac:dyDescent="0.2">
      <c r="A24" s="6" t="s">
        <v>82</v>
      </c>
      <c r="C24" s="21">
        <v>0</v>
      </c>
      <c r="D24" s="21">
        <v>0</v>
      </c>
      <c r="E24" s="21">
        <v>0</v>
      </c>
      <c r="F24" s="21">
        <v>0</v>
      </c>
    </row>
    <row r="25" spans="1:14" x14ac:dyDescent="0.2">
      <c r="A25" s="6" t="s">
        <v>109</v>
      </c>
      <c r="C25" s="22">
        <v>92</v>
      </c>
      <c r="D25" s="22">
        <v>92</v>
      </c>
      <c r="E25" s="22">
        <v>92</v>
      </c>
      <c r="F25" s="22">
        <v>92</v>
      </c>
      <c r="G25" s="6" t="s">
        <v>91</v>
      </c>
      <c r="K25" s="199" t="s">
        <v>281</v>
      </c>
      <c r="L25" s="95"/>
      <c r="M25" s="95"/>
      <c r="N25" s="96"/>
    </row>
    <row r="26" spans="1:14" x14ac:dyDescent="0.2">
      <c r="A26" s="6" t="s">
        <v>111</v>
      </c>
      <c r="C26" s="142"/>
      <c r="D26" s="142"/>
      <c r="E26" s="23" t="s">
        <v>113</v>
      </c>
      <c r="F26" s="142" t="s">
        <v>112</v>
      </c>
      <c r="K26" s="137">
        <v>0</v>
      </c>
      <c r="L26" s="95" t="s">
        <v>291</v>
      </c>
      <c r="M26" s="95"/>
      <c r="N26" s="96"/>
    </row>
    <row r="28" spans="1:14" x14ac:dyDescent="0.2">
      <c r="A28" s="6" t="s">
        <v>83</v>
      </c>
      <c r="C28" s="159">
        <f>SUM(C19:F23)+SUM(C24:F24)</f>
        <v>1</v>
      </c>
      <c r="D28" s="6" t="s">
        <v>40</v>
      </c>
      <c r="E28" s="6" t="s">
        <v>85</v>
      </c>
      <c r="F28" s="200">
        <f>0.05+0.009*C29*100</f>
        <v>0.05</v>
      </c>
      <c r="K28" s="6" t="s">
        <v>87</v>
      </c>
      <c r="L28" s="6">
        <v>1.25</v>
      </c>
      <c r="M28" s="6" t="s">
        <v>88</v>
      </c>
    </row>
    <row r="29" spans="1:14" x14ac:dyDescent="0.2">
      <c r="A29" s="6" t="s">
        <v>84</v>
      </c>
      <c r="C29" s="201">
        <f>(SUM(C19:F19)+SUM(C22:F22)/2+IF(E26="Y",SUM(C24:F24),0))/C28</f>
        <v>0</v>
      </c>
      <c r="E29" s="6" t="s">
        <v>86</v>
      </c>
      <c r="F29" s="202">
        <f>F28*L28*C28*43560/12+K26-IF(E26="N",0.05*L28*SUM(C24:F24)*43560/12,0)</f>
        <v>226.875</v>
      </c>
      <c r="H29" s="6" t="s">
        <v>115</v>
      </c>
      <c r="I29" s="203">
        <f>1.25*F28</f>
        <v>6.25E-2</v>
      </c>
    </row>
    <row r="30" spans="1:14" x14ac:dyDescent="0.2">
      <c r="A30" s="6" t="s">
        <v>89</v>
      </c>
      <c r="D30" s="159">
        <f>ROUND(((SUM(C19:F19)*98+C20*K20+C21*K21+C22*K22+D20*L20+D21*L21+D22*L22+E20*M20+E21*M21+E22*M22+F20*N20+F21*N21+F22*N22+C24*C25+D24*D25+E24*E25+F24*F25+C23*K23+D23*L23+E23*M23+F23*N23)/C28),0)</f>
        <v>74</v>
      </c>
      <c r="F30" s="156" t="str">
        <f>IF(K26&gt;0,"MANUAL"," ")</f>
        <v xml:space="preserve"> </v>
      </c>
    </row>
    <row r="31" spans="1:14" x14ac:dyDescent="0.2">
      <c r="A31" s="6" t="s">
        <v>90</v>
      </c>
      <c r="D31" s="159">
        <f>ROUND(1000/((10+5*L28+10*1.25*F28)-(10*((1.25*F28)^2+1.25*1.25*F28*L28)^0.5)),0)</f>
        <v>73</v>
      </c>
    </row>
    <row r="32" spans="1:14" x14ac:dyDescent="0.2">
      <c r="A32" s="142"/>
    </row>
    <row r="33" spans="1:14" x14ac:dyDescent="0.2">
      <c r="A33" s="204" t="s">
        <v>104</v>
      </c>
      <c r="B33" s="204"/>
      <c r="C33" s="275" t="s">
        <v>27</v>
      </c>
      <c r="D33" s="275"/>
      <c r="E33" s="275"/>
      <c r="F33" s="275"/>
      <c r="G33" s="205"/>
      <c r="H33" s="205"/>
      <c r="I33" s="205"/>
    </row>
    <row r="34" spans="1:14" x14ac:dyDescent="0.2">
      <c r="A34" s="192" t="s">
        <v>77</v>
      </c>
      <c r="B34" s="192"/>
      <c r="C34" s="193" t="s">
        <v>29</v>
      </c>
      <c r="D34" s="193" t="s">
        <v>30</v>
      </c>
      <c r="E34" s="193" t="s">
        <v>31</v>
      </c>
      <c r="F34" s="193" t="s">
        <v>32</v>
      </c>
      <c r="K34" s="276" t="s">
        <v>78</v>
      </c>
      <c r="L34" s="276"/>
      <c r="M34" s="276"/>
      <c r="N34" s="276"/>
    </row>
    <row r="35" spans="1:14" x14ac:dyDescent="0.2">
      <c r="A35" s="6" t="s">
        <v>76</v>
      </c>
      <c r="C35" s="21">
        <v>0</v>
      </c>
      <c r="D35" s="21">
        <v>0.5</v>
      </c>
      <c r="E35" s="21">
        <v>0</v>
      </c>
      <c r="F35" s="21">
        <v>0</v>
      </c>
      <c r="K35" s="142" t="s">
        <v>29</v>
      </c>
      <c r="L35" s="142" t="s">
        <v>30</v>
      </c>
      <c r="M35" s="142" t="s">
        <v>31</v>
      </c>
      <c r="N35" s="142" t="s">
        <v>32</v>
      </c>
    </row>
    <row r="36" spans="1:14" x14ac:dyDescent="0.2">
      <c r="A36" s="6" t="s">
        <v>298</v>
      </c>
      <c r="C36" s="21">
        <v>0</v>
      </c>
      <c r="D36" s="21">
        <v>0.5</v>
      </c>
      <c r="E36" s="21">
        <v>0</v>
      </c>
      <c r="F36" s="21">
        <v>0</v>
      </c>
      <c r="K36" s="142">
        <v>39</v>
      </c>
      <c r="L36" s="142">
        <v>61</v>
      </c>
      <c r="M36" s="142">
        <v>74</v>
      </c>
      <c r="N36" s="142">
        <v>80</v>
      </c>
    </row>
    <row r="37" spans="1:14" x14ac:dyDescent="0.2">
      <c r="A37" s="6" t="s">
        <v>297</v>
      </c>
      <c r="C37" s="21">
        <v>0</v>
      </c>
      <c r="D37" s="21">
        <v>0</v>
      </c>
      <c r="E37" s="21">
        <v>0</v>
      </c>
      <c r="F37" s="21">
        <v>0</v>
      </c>
      <c r="K37" s="142">
        <v>49</v>
      </c>
      <c r="L37" s="142">
        <v>69</v>
      </c>
      <c r="M37" s="142">
        <v>79</v>
      </c>
      <c r="N37" s="142">
        <v>84</v>
      </c>
    </row>
    <row r="38" spans="1:14" x14ac:dyDescent="0.2">
      <c r="A38" s="6" t="s">
        <v>81</v>
      </c>
      <c r="C38" s="21">
        <v>0</v>
      </c>
      <c r="D38" s="21">
        <v>0</v>
      </c>
      <c r="E38" s="21">
        <v>0</v>
      </c>
      <c r="F38" s="21">
        <v>0</v>
      </c>
      <c r="K38" s="142">
        <v>68</v>
      </c>
      <c r="L38" s="142">
        <v>79</v>
      </c>
      <c r="M38" s="142">
        <v>86</v>
      </c>
      <c r="N38" s="142">
        <v>89</v>
      </c>
    </row>
    <row r="39" spans="1:14" x14ac:dyDescent="0.2">
      <c r="A39" s="6" t="s">
        <v>110</v>
      </c>
      <c r="C39" s="21">
        <v>0</v>
      </c>
      <c r="D39" s="21">
        <v>0</v>
      </c>
      <c r="E39" s="21">
        <v>0</v>
      </c>
      <c r="F39" s="21">
        <v>0</v>
      </c>
      <c r="K39" s="142">
        <v>64</v>
      </c>
      <c r="L39" s="142">
        <v>74</v>
      </c>
      <c r="M39" s="142">
        <v>81</v>
      </c>
      <c r="N39" s="142">
        <v>85</v>
      </c>
    </row>
    <row r="40" spans="1:14" x14ac:dyDescent="0.2">
      <c r="A40" s="6" t="s">
        <v>82</v>
      </c>
      <c r="C40" s="21">
        <v>0</v>
      </c>
      <c r="D40" s="21">
        <v>0</v>
      </c>
      <c r="E40" s="21">
        <v>0</v>
      </c>
      <c r="F40" s="21">
        <v>0</v>
      </c>
    </row>
    <row r="41" spans="1:14" x14ac:dyDescent="0.2">
      <c r="A41" s="6" t="s">
        <v>109</v>
      </c>
      <c r="C41" s="22">
        <v>92</v>
      </c>
      <c r="D41" s="22">
        <v>92</v>
      </c>
      <c r="E41" s="22">
        <v>92</v>
      </c>
      <c r="F41" s="22">
        <v>92</v>
      </c>
      <c r="G41" s="6" t="s">
        <v>91</v>
      </c>
      <c r="K41" s="199" t="s">
        <v>281</v>
      </c>
      <c r="L41" s="95"/>
      <c r="M41" s="95"/>
      <c r="N41" s="96"/>
    </row>
    <row r="42" spans="1:14" x14ac:dyDescent="0.2">
      <c r="A42" s="6" t="s">
        <v>111</v>
      </c>
      <c r="C42" s="142"/>
      <c r="D42" s="142"/>
      <c r="E42" s="23" t="s">
        <v>113</v>
      </c>
      <c r="F42" s="142" t="s">
        <v>112</v>
      </c>
      <c r="K42" s="137">
        <v>0</v>
      </c>
      <c r="L42" s="95" t="s">
        <v>291</v>
      </c>
      <c r="M42" s="95"/>
      <c r="N42" s="96"/>
    </row>
    <row r="44" spans="1:14" x14ac:dyDescent="0.2">
      <c r="A44" s="6" t="s">
        <v>83</v>
      </c>
      <c r="C44" s="186">
        <f>SUM(C35:F39)+SUM(C40:F40)</f>
        <v>1</v>
      </c>
      <c r="D44" s="6" t="s">
        <v>40</v>
      </c>
      <c r="E44" s="6" t="s">
        <v>85</v>
      </c>
      <c r="F44" s="206">
        <f>0.05+0.009*C45*100</f>
        <v>0.49999999999999994</v>
      </c>
      <c r="K44" s="6" t="s">
        <v>87</v>
      </c>
      <c r="L44" s="6">
        <v>1.25</v>
      </c>
      <c r="M44" s="6" t="s">
        <v>88</v>
      </c>
    </row>
    <row r="45" spans="1:14" x14ac:dyDescent="0.2">
      <c r="A45" s="6" t="s">
        <v>84</v>
      </c>
      <c r="C45" s="207">
        <f>(SUM(C35:F35)+SUM(C38:F38)/2+IF(E42="Y",SUM(C40:F40),0))/C44</f>
        <v>0.5</v>
      </c>
      <c r="E45" s="6" t="s">
        <v>86</v>
      </c>
      <c r="F45" s="208">
        <f>F44*L44*C44*43560/12+K42-IF(E42="N",0.05*L44*SUM(C40:F40)*43560/12,0)</f>
        <v>2268.7499999999995</v>
      </c>
      <c r="H45" s="6" t="s">
        <v>115</v>
      </c>
      <c r="I45" s="209">
        <f>1.25*F44</f>
        <v>0.62499999999999989</v>
      </c>
    </row>
    <row r="46" spans="1:14" x14ac:dyDescent="0.2">
      <c r="A46" s="6" t="s">
        <v>89</v>
      </c>
      <c r="D46" s="186">
        <f>ROUND(((SUM(C35:F35)*98+C36*K36+C37*K37+C38*K38+D36*L36+D37*L37+D38*L38+E36*M36+E37*M37+E38*M38+F36*N36+F37*N37+F38*N38+C40*C41+D40*D41+E40*E41+F40*F41+C39*K39+D39*L39+E39*M39+F39*N39)/C44),0)</f>
        <v>80</v>
      </c>
      <c r="F46" s="156" t="str">
        <f>IF(K42&gt;0,"MANUAL"," ")</f>
        <v xml:space="preserve"> </v>
      </c>
    </row>
    <row r="47" spans="1:14" x14ac:dyDescent="0.2">
      <c r="A47" s="6" t="s">
        <v>90</v>
      </c>
      <c r="D47" s="186">
        <f>ROUND(1000/((10+5*L44+10*1.25*F44)-(10*((1.25*F44)^2+1.25*1.25*F44*L44)^0.5)),0)</f>
        <v>93</v>
      </c>
    </row>
    <row r="48" spans="1:14" x14ac:dyDescent="0.2">
      <c r="A48" s="210" t="s">
        <v>117</v>
      </c>
    </row>
    <row r="49" spans="1:1" x14ac:dyDescent="0.2">
      <c r="A49" s="210" t="s">
        <v>114</v>
      </c>
    </row>
  </sheetData>
  <sheetProtection algorithmName="SHA-512" hashValue="bJ3ze+AsqkMMQEX7GpJBIg+B7AM1iPjDYTDkao/PVuvit1Sc4Kr+umeh0lOwD5MwrnkSy2EC7yCnDOnUzzUcDA==" saltValue="DFpi2aHhN5j2hhG9HBDWKA==" spinCount="100000" sheet="1" selectLockedCells="1"/>
  <mergeCells count="10">
    <mergeCell ref="B2:E2"/>
    <mergeCell ref="G2:H2"/>
    <mergeCell ref="A6:I6"/>
    <mergeCell ref="A7:I7"/>
    <mergeCell ref="A1:I1"/>
    <mergeCell ref="C33:F33"/>
    <mergeCell ref="K34:N34"/>
    <mergeCell ref="C9:F9"/>
    <mergeCell ref="C17:F17"/>
    <mergeCell ref="K18:N18"/>
  </mergeCells>
  <pageMargins left="0.7" right="0.7" top="0.75" bottom="0.75" header="0.3" footer="0.3"/>
  <pageSetup orientation="portrait" r:id="rId1"/>
  <headerFooter>
    <oddFooter>&amp;LDE_1: Watershed Data Entry&amp;C&amp;9Iowa Stormwater Wetland Design Workbook - v1.02
Issued by IDALS - 2018&amp;RPage 3</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J43"/>
  <sheetViews>
    <sheetView view="pageBreakPreview" zoomScaleNormal="100" zoomScaleSheetLayoutView="100" workbookViewId="0">
      <selection activeCell="N31" sqref="N31"/>
    </sheetView>
  </sheetViews>
  <sheetFormatPr defaultColWidth="8.85546875" defaultRowHeight="12.75" x14ac:dyDescent="0.2"/>
  <cols>
    <col min="1" max="3" width="10.85546875" style="102" customWidth="1"/>
    <col min="4" max="5" width="9" style="102" bestFit="1" customWidth="1"/>
    <col min="6" max="6" width="10.28515625" style="102" bestFit="1" customWidth="1"/>
    <col min="7" max="7" width="9.5703125" style="102" bestFit="1" customWidth="1"/>
    <col min="8" max="8" width="10.28515625" style="102" bestFit="1" customWidth="1"/>
    <col min="9" max="9" width="8.85546875" style="102"/>
    <col min="10" max="10" width="15.42578125" style="102" customWidth="1"/>
    <col min="11" max="16384" width="8.85546875" style="102"/>
  </cols>
  <sheetData>
    <row r="1" spans="1:9" x14ac:dyDescent="0.2">
      <c r="A1" s="262" t="s">
        <v>257</v>
      </c>
      <c r="B1" s="262"/>
      <c r="C1" s="262"/>
      <c r="D1" s="262"/>
      <c r="E1" s="262"/>
      <c r="F1" s="262"/>
      <c r="G1" s="262"/>
      <c r="H1" s="262"/>
      <c r="I1" s="47"/>
    </row>
    <row r="2" spans="1:9" x14ac:dyDescent="0.2">
      <c r="A2" s="102" t="s">
        <v>187</v>
      </c>
      <c r="B2" s="285" t="str">
        <f>'CL_1 - Screening'!C3</f>
        <v>Project Name</v>
      </c>
      <c r="C2" s="285"/>
      <c r="D2" s="285"/>
      <c r="E2" s="285"/>
      <c r="F2" s="102" t="s">
        <v>123</v>
      </c>
      <c r="G2" s="284">
        <f ca="1">'CL_1 - Screening'!G5</f>
        <v>43220</v>
      </c>
      <c r="H2" s="284"/>
    </row>
    <row r="3" spans="1:9" s="211" customFormat="1" x14ac:dyDescent="0.2">
      <c r="A3" s="104" t="s">
        <v>190</v>
      </c>
      <c r="B3" s="104"/>
      <c r="C3" s="104"/>
      <c r="D3" s="104"/>
      <c r="E3" s="104"/>
      <c r="F3" s="104"/>
      <c r="G3" s="104"/>
      <c r="H3" s="104"/>
    </row>
    <row r="5" spans="1:9" x14ac:dyDescent="0.2">
      <c r="A5" s="212" t="s">
        <v>105</v>
      </c>
      <c r="B5" s="212"/>
      <c r="C5" s="212"/>
      <c r="D5" s="212"/>
      <c r="E5" s="212"/>
      <c r="F5" s="212"/>
      <c r="G5" s="212"/>
      <c r="H5" s="212"/>
    </row>
    <row r="7" spans="1:9" x14ac:dyDescent="0.2">
      <c r="A7" s="102" t="s">
        <v>83</v>
      </c>
      <c r="C7" s="106">
        <f>'DE_1 - Watershed Info'!C44</f>
        <v>1</v>
      </c>
      <c r="D7" s="102" t="s">
        <v>40</v>
      </c>
      <c r="E7" s="102" t="s">
        <v>85</v>
      </c>
      <c r="F7" s="213">
        <f>'DE_1 - Watershed Info'!F44</f>
        <v>0.49999999999999994</v>
      </c>
    </row>
    <row r="8" spans="1:9" x14ac:dyDescent="0.2">
      <c r="A8" s="102" t="s">
        <v>84</v>
      </c>
      <c r="C8" s="127">
        <f>'DE_1 - Watershed Info'!C45</f>
        <v>0.5</v>
      </c>
      <c r="E8" s="102" t="s">
        <v>86</v>
      </c>
      <c r="F8" s="214">
        <f>'DE_1 - Watershed Info'!F45</f>
        <v>2268.7499999999995</v>
      </c>
      <c r="G8" s="102" t="s">
        <v>101</v>
      </c>
    </row>
    <row r="9" spans="1:9" x14ac:dyDescent="0.2">
      <c r="A9" s="102" t="s">
        <v>89</v>
      </c>
      <c r="D9" s="106">
        <f>'DE_1 - Watershed Info'!D46</f>
        <v>80</v>
      </c>
      <c r="E9" s="102" t="s">
        <v>115</v>
      </c>
      <c r="F9" s="215">
        <f>'DE_1 - Watershed Info'!I45</f>
        <v>0.62499999999999989</v>
      </c>
      <c r="G9" s="102" t="s">
        <v>118</v>
      </c>
    </row>
    <row r="10" spans="1:9" x14ac:dyDescent="0.2">
      <c r="A10" s="102" t="s">
        <v>90</v>
      </c>
      <c r="D10" s="106">
        <f>'DE_1 - Watershed Info'!D47</f>
        <v>93</v>
      </c>
    </row>
    <row r="12" spans="1:9" x14ac:dyDescent="0.2">
      <c r="A12" s="212" t="s">
        <v>119</v>
      </c>
      <c r="B12" s="212"/>
      <c r="C12" s="212"/>
      <c r="D12" s="212"/>
      <c r="E12" s="212"/>
      <c r="F12" s="212"/>
      <c r="G12" s="212"/>
      <c r="H12" s="212"/>
    </row>
    <row r="13" spans="1:9" x14ac:dyDescent="0.2">
      <c r="A13" s="286" t="s">
        <v>255</v>
      </c>
      <c r="B13" s="286"/>
      <c r="C13" s="286"/>
      <c r="D13" s="286"/>
      <c r="E13" s="286"/>
      <c r="F13" s="286"/>
      <c r="G13" s="286"/>
      <c r="H13" s="286"/>
    </row>
    <row r="15" spans="1:9" x14ac:dyDescent="0.2">
      <c r="B15" s="216"/>
      <c r="C15" s="283" t="s">
        <v>97</v>
      </c>
      <c r="D15" s="283"/>
      <c r="E15" s="283" t="s">
        <v>95</v>
      </c>
      <c r="F15" s="283"/>
      <c r="G15" s="283" t="s">
        <v>96</v>
      </c>
      <c r="H15" s="283"/>
    </row>
    <row r="16" spans="1:9" x14ac:dyDescent="0.2">
      <c r="B16" s="217" t="s">
        <v>94</v>
      </c>
      <c r="C16" s="217" t="s">
        <v>98</v>
      </c>
      <c r="D16" s="217" t="s">
        <v>99</v>
      </c>
      <c r="E16" s="217" t="s">
        <v>98</v>
      </c>
      <c r="F16" s="217" t="s">
        <v>99</v>
      </c>
      <c r="G16" s="217" t="s">
        <v>98</v>
      </c>
      <c r="H16" s="217" t="s">
        <v>99</v>
      </c>
    </row>
    <row r="17" spans="1:8" x14ac:dyDescent="0.2">
      <c r="A17" s="218" t="s">
        <v>92</v>
      </c>
      <c r="B17" s="219" t="s">
        <v>88</v>
      </c>
      <c r="C17" s="219" t="s">
        <v>100</v>
      </c>
      <c r="D17" s="219" t="s">
        <v>101</v>
      </c>
      <c r="E17" s="219" t="s">
        <v>100</v>
      </c>
      <c r="F17" s="219" t="s">
        <v>101</v>
      </c>
      <c r="G17" s="219" t="s">
        <v>100</v>
      </c>
      <c r="H17" s="219" t="s">
        <v>101</v>
      </c>
    </row>
    <row r="18" spans="1:8" x14ac:dyDescent="0.2">
      <c r="A18" s="106" t="s">
        <v>93</v>
      </c>
      <c r="B18" s="24">
        <v>1.25</v>
      </c>
      <c r="C18" s="220"/>
      <c r="D18" s="221"/>
      <c r="E18" s="222"/>
      <c r="F18" s="223"/>
      <c r="G18" s="25"/>
      <c r="H18" s="26"/>
    </row>
    <row r="19" spans="1:8" x14ac:dyDescent="0.2">
      <c r="A19" s="106">
        <v>1</v>
      </c>
      <c r="B19" s="24"/>
      <c r="C19" s="27"/>
      <c r="D19" s="28"/>
      <c r="E19" s="29"/>
      <c r="F19" s="30"/>
      <c r="G19" s="25"/>
      <c r="H19" s="26"/>
    </row>
    <row r="20" spans="1:8" x14ac:dyDescent="0.2">
      <c r="A20" s="106">
        <v>2</v>
      </c>
      <c r="B20" s="24"/>
      <c r="C20" s="27"/>
      <c r="D20" s="28"/>
      <c r="E20" s="29"/>
      <c r="F20" s="30"/>
      <c r="G20" s="25"/>
      <c r="H20" s="26"/>
    </row>
    <row r="21" spans="1:8" x14ac:dyDescent="0.2">
      <c r="A21" s="106">
        <v>5</v>
      </c>
      <c r="B21" s="24"/>
      <c r="C21" s="27"/>
      <c r="D21" s="28"/>
      <c r="E21" s="29"/>
      <c r="F21" s="30"/>
      <c r="G21" s="25"/>
      <c r="H21" s="26"/>
    </row>
    <row r="22" spans="1:8" x14ac:dyDescent="0.2">
      <c r="A22" s="106">
        <v>10</v>
      </c>
      <c r="B22" s="24"/>
      <c r="C22" s="27"/>
      <c r="D22" s="28"/>
      <c r="E22" s="29"/>
      <c r="F22" s="30"/>
      <c r="G22" s="25"/>
      <c r="H22" s="26"/>
    </row>
    <row r="23" spans="1:8" x14ac:dyDescent="0.2">
      <c r="A23" s="106">
        <v>25</v>
      </c>
      <c r="B23" s="24"/>
      <c r="C23" s="27"/>
      <c r="D23" s="28"/>
      <c r="E23" s="29"/>
      <c r="F23" s="30"/>
      <c r="G23" s="25"/>
      <c r="H23" s="26"/>
    </row>
    <row r="24" spans="1:8" x14ac:dyDescent="0.2">
      <c r="A24" s="106">
        <v>50</v>
      </c>
      <c r="B24" s="24"/>
      <c r="C24" s="27"/>
      <c r="D24" s="28"/>
      <c r="E24" s="29"/>
      <c r="F24" s="30"/>
      <c r="G24" s="25"/>
      <c r="H24" s="26"/>
    </row>
    <row r="25" spans="1:8" x14ac:dyDescent="0.2">
      <c r="A25" s="106">
        <v>100</v>
      </c>
      <c r="B25" s="24"/>
      <c r="C25" s="27"/>
      <c r="D25" s="28"/>
      <c r="E25" s="29"/>
      <c r="F25" s="30"/>
      <c r="G25" s="25"/>
      <c r="H25" s="26"/>
    </row>
    <row r="27" spans="1:8" x14ac:dyDescent="0.2">
      <c r="A27" s="212" t="s">
        <v>125</v>
      </c>
      <c r="B27" s="212"/>
      <c r="C27" s="212"/>
      <c r="D27" s="122" t="s">
        <v>126</v>
      </c>
      <c r="E27" s="129">
        <f>H19/43560/80*12</f>
        <v>0</v>
      </c>
      <c r="F27" s="102" t="s">
        <v>118</v>
      </c>
    </row>
    <row r="28" spans="1:8" x14ac:dyDescent="0.2">
      <c r="D28" s="122" t="s">
        <v>127</v>
      </c>
      <c r="E28" s="123" t="e">
        <f>G19*640/80/E27</f>
        <v>#DIV/0!</v>
      </c>
      <c r="F28" s="102" t="s">
        <v>128</v>
      </c>
    </row>
    <row r="29" spans="1:8" x14ac:dyDescent="0.2">
      <c r="D29" s="122" t="s">
        <v>129</v>
      </c>
      <c r="E29" s="31"/>
      <c r="F29" s="102" t="s">
        <v>130</v>
      </c>
    </row>
    <row r="30" spans="1:8" x14ac:dyDescent="0.2">
      <c r="D30" s="122" t="s">
        <v>131</v>
      </c>
      <c r="E30" s="130">
        <f>E29*G19</f>
        <v>0</v>
      </c>
      <c r="F30" s="102" t="s">
        <v>100</v>
      </c>
    </row>
    <row r="32" spans="1:8" x14ac:dyDescent="0.2">
      <c r="A32" s="212" t="s">
        <v>186</v>
      </c>
      <c r="B32" s="212"/>
      <c r="C32" s="212"/>
      <c r="D32" s="212"/>
      <c r="E32" s="212"/>
      <c r="F32" s="212"/>
      <c r="G32" s="212"/>
      <c r="H32" s="212"/>
    </row>
    <row r="33" spans="1:10" x14ac:dyDescent="0.2">
      <c r="A33" s="156" t="str">
        <f>IF(J36&gt;0,"MANUAL",IF(J37&gt;0,"MANUAL",IF(J38&gt;0,"MANUAL",IF(J39&gt;0,"MANUAL",IF(J40&gt;0,"MANUAL",IF(J41&gt;0,"MANUAL",IF(J42&gt;0,"MANUAL"," ")))))))</f>
        <v xml:space="preserve"> </v>
      </c>
      <c r="B33" s="156"/>
      <c r="C33" s="156"/>
      <c r="D33" s="156"/>
      <c r="E33" s="156"/>
      <c r="F33" s="156"/>
      <c r="G33" s="156"/>
      <c r="H33" s="156"/>
      <c r="J33" s="224" t="s">
        <v>281</v>
      </c>
    </row>
    <row r="34" spans="1:10" x14ac:dyDescent="0.2">
      <c r="A34" s="225"/>
      <c r="B34" s="226" t="s">
        <v>132</v>
      </c>
      <c r="C34" s="226" t="s">
        <v>133</v>
      </c>
      <c r="D34" s="226" t="s">
        <v>134</v>
      </c>
      <c r="E34" s="226" t="s">
        <v>135</v>
      </c>
      <c r="F34" s="226" t="s">
        <v>136</v>
      </c>
      <c r="G34" s="226" t="s">
        <v>137</v>
      </c>
      <c r="H34" s="226" t="s">
        <v>138</v>
      </c>
      <c r="J34" s="227" t="s">
        <v>292</v>
      </c>
    </row>
    <row r="35" spans="1:10" x14ac:dyDescent="0.2">
      <c r="A35" s="116" t="s">
        <v>92</v>
      </c>
      <c r="B35" s="116" t="s">
        <v>100</v>
      </c>
      <c r="C35" s="116" t="s">
        <v>100</v>
      </c>
      <c r="D35" s="116"/>
      <c r="E35" s="116"/>
      <c r="F35" s="116" t="s">
        <v>101</v>
      </c>
      <c r="G35" s="116" t="s">
        <v>101</v>
      </c>
      <c r="H35" s="116" t="s">
        <v>101</v>
      </c>
      <c r="J35" s="228" t="s">
        <v>100</v>
      </c>
    </row>
    <row r="36" spans="1:10" x14ac:dyDescent="0.2">
      <c r="A36" s="106">
        <v>1</v>
      </c>
      <c r="B36" s="130">
        <f>IF(J36=0,E30,J36)</f>
        <v>0</v>
      </c>
      <c r="C36" s="123">
        <f>G19</f>
        <v>0</v>
      </c>
      <c r="D36" s="129" t="e">
        <f>B36/C36</f>
        <v>#DIV/0!</v>
      </c>
      <c r="E36" s="131" t="e">
        <f>0.683-1.43*D36+1.64*D36^2-0.804*D36^3</f>
        <v>#DIV/0!</v>
      </c>
      <c r="F36" s="132">
        <f>H19</f>
        <v>0</v>
      </c>
      <c r="G36" s="128" t="e">
        <f>E36*F36</f>
        <v>#DIV/0!</v>
      </c>
      <c r="H36" s="128" t="e">
        <f>ROUND(G36*1.15,-2)</f>
        <v>#DIV/0!</v>
      </c>
      <c r="J36" s="135">
        <v>0</v>
      </c>
    </row>
    <row r="37" spans="1:10" x14ac:dyDescent="0.2">
      <c r="A37" s="106">
        <v>2</v>
      </c>
      <c r="B37" s="130">
        <f>IF(J37=0,MIN(C20,E$21),J37)</f>
        <v>0</v>
      </c>
      <c r="C37" s="123">
        <f t="shared" ref="C37:C42" si="0">G20</f>
        <v>0</v>
      </c>
      <c r="D37" s="129" t="e">
        <f t="shared" ref="D37:D42" si="1">B37/C37</f>
        <v>#DIV/0!</v>
      </c>
      <c r="E37" s="131" t="e">
        <f t="shared" ref="E37:E42" si="2">0.683-1.43*D37+1.64*D37^2-0.804*D37^3</f>
        <v>#DIV/0!</v>
      </c>
      <c r="F37" s="132">
        <f t="shared" ref="F37:F42" si="3">H20</f>
        <v>0</v>
      </c>
      <c r="G37" s="128" t="e">
        <f t="shared" ref="G37:G42" si="4">E37*F37</f>
        <v>#DIV/0!</v>
      </c>
      <c r="H37" s="128" t="e">
        <f t="shared" ref="H37:H42" si="5">ROUND(G37*1.15,-2)</f>
        <v>#DIV/0!</v>
      </c>
      <c r="J37" s="135">
        <v>0</v>
      </c>
    </row>
    <row r="38" spans="1:10" x14ac:dyDescent="0.2">
      <c r="A38" s="106">
        <v>5</v>
      </c>
      <c r="B38" s="130">
        <f t="shared" ref="B38:B42" si="6">IF(J38=0,MIN(C21,E$21),J38)</f>
        <v>0</v>
      </c>
      <c r="C38" s="123">
        <f t="shared" si="0"/>
        <v>0</v>
      </c>
      <c r="D38" s="129" t="e">
        <f t="shared" si="1"/>
        <v>#DIV/0!</v>
      </c>
      <c r="E38" s="131" t="e">
        <f t="shared" si="2"/>
        <v>#DIV/0!</v>
      </c>
      <c r="F38" s="132">
        <f t="shared" si="3"/>
        <v>0</v>
      </c>
      <c r="G38" s="128" t="e">
        <f t="shared" si="4"/>
        <v>#DIV/0!</v>
      </c>
      <c r="H38" s="128" t="e">
        <f t="shared" si="5"/>
        <v>#DIV/0!</v>
      </c>
      <c r="J38" s="135">
        <v>0</v>
      </c>
    </row>
    <row r="39" spans="1:10" x14ac:dyDescent="0.2">
      <c r="A39" s="106">
        <v>10</v>
      </c>
      <c r="B39" s="130">
        <f t="shared" si="6"/>
        <v>0</v>
      </c>
      <c r="C39" s="123">
        <f t="shared" si="0"/>
        <v>0</v>
      </c>
      <c r="D39" s="129" t="e">
        <f t="shared" si="1"/>
        <v>#DIV/0!</v>
      </c>
      <c r="E39" s="131" t="e">
        <f t="shared" si="2"/>
        <v>#DIV/0!</v>
      </c>
      <c r="F39" s="132">
        <f t="shared" si="3"/>
        <v>0</v>
      </c>
      <c r="G39" s="128" t="e">
        <f t="shared" si="4"/>
        <v>#DIV/0!</v>
      </c>
      <c r="H39" s="128" t="e">
        <f t="shared" si="5"/>
        <v>#DIV/0!</v>
      </c>
      <c r="J39" s="135">
        <v>0</v>
      </c>
    </row>
    <row r="40" spans="1:10" x14ac:dyDescent="0.2">
      <c r="A40" s="106">
        <v>25</v>
      </c>
      <c r="B40" s="130">
        <f t="shared" si="6"/>
        <v>0</v>
      </c>
      <c r="C40" s="123">
        <f t="shared" si="0"/>
        <v>0</v>
      </c>
      <c r="D40" s="129" t="e">
        <f t="shared" si="1"/>
        <v>#DIV/0!</v>
      </c>
      <c r="E40" s="131" t="e">
        <f t="shared" si="2"/>
        <v>#DIV/0!</v>
      </c>
      <c r="F40" s="132">
        <f t="shared" si="3"/>
        <v>0</v>
      </c>
      <c r="G40" s="128" t="e">
        <f t="shared" si="4"/>
        <v>#DIV/0!</v>
      </c>
      <c r="H40" s="128" t="e">
        <f t="shared" si="5"/>
        <v>#DIV/0!</v>
      </c>
      <c r="J40" s="135">
        <v>0</v>
      </c>
    </row>
    <row r="41" spans="1:10" x14ac:dyDescent="0.2">
      <c r="A41" s="106">
        <v>50</v>
      </c>
      <c r="B41" s="130">
        <f t="shared" si="6"/>
        <v>0</v>
      </c>
      <c r="C41" s="123">
        <f t="shared" si="0"/>
        <v>0</v>
      </c>
      <c r="D41" s="129" t="e">
        <f t="shared" si="1"/>
        <v>#DIV/0!</v>
      </c>
      <c r="E41" s="131" t="e">
        <f t="shared" si="2"/>
        <v>#DIV/0!</v>
      </c>
      <c r="F41" s="132">
        <f t="shared" si="3"/>
        <v>0</v>
      </c>
      <c r="G41" s="128" t="e">
        <f t="shared" si="4"/>
        <v>#DIV/0!</v>
      </c>
      <c r="H41" s="128" t="e">
        <f t="shared" si="5"/>
        <v>#DIV/0!</v>
      </c>
      <c r="J41" s="135">
        <v>0</v>
      </c>
    </row>
    <row r="42" spans="1:10" x14ac:dyDescent="0.2">
      <c r="A42" s="106">
        <v>100</v>
      </c>
      <c r="B42" s="130">
        <f t="shared" si="6"/>
        <v>0</v>
      </c>
      <c r="C42" s="123">
        <f t="shared" si="0"/>
        <v>0</v>
      </c>
      <c r="D42" s="129" t="e">
        <f t="shared" si="1"/>
        <v>#DIV/0!</v>
      </c>
      <c r="E42" s="131" t="e">
        <f t="shared" si="2"/>
        <v>#DIV/0!</v>
      </c>
      <c r="F42" s="132">
        <f t="shared" si="3"/>
        <v>0</v>
      </c>
      <c r="G42" s="128" t="e">
        <f t="shared" si="4"/>
        <v>#DIV/0!</v>
      </c>
      <c r="H42" s="128" t="e">
        <f t="shared" si="5"/>
        <v>#DIV/0!</v>
      </c>
      <c r="J42" s="136">
        <v>0</v>
      </c>
    </row>
    <row r="43" spans="1:10" x14ac:dyDescent="0.2">
      <c r="B43" s="133"/>
    </row>
  </sheetData>
  <sheetProtection algorithmName="SHA-512" hashValue="qDHmkr+t2lZWob2sOFpecc/8kMRp8SfKNTkViz1FZYf5udILktQDNdBHS3TPsz9myxOyqh1+Fu/zs3oEcGKD+A==" saltValue="WKhku4PYqcm52l/hXVa8ag==" spinCount="100000" sheet="1" selectLockedCells="1"/>
  <mergeCells count="7">
    <mergeCell ref="A1:H1"/>
    <mergeCell ref="C15:D15"/>
    <mergeCell ref="E15:F15"/>
    <mergeCell ref="G15:H15"/>
    <mergeCell ref="G2:H2"/>
    <mergeCell ref="B2:E2"/>
    <mergeCell ref="A13:H13"/>
  </mergeCells>
  <pageMargins left="0.7" right="0.7" top="0.75" bottom="0.75" header="0.3" footer="0.3"/>
  <pageSetup orientation="portrait" r:id="rId1"/>
  <headerFooter>
    <oddFooter>&amp;LStep 3 - Hydrology Data&amp;C&amp;9Iowa Stormwater Wetland Design Workbook - v1.02
Issued by IDALS - 2018&amp;RPage 4</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P79"/>
  <sheetViews>
    <sheetView view="pageBreakPreview" topLeftCell="A14" zoomScaleNormal="100" zoomScaleSheetLayoutView="100" workbookViewId="0">
      <selection activeCell="N31" sqref="N31"/>
    </sheetView>
  </sheetViews>
  <sheetFormatPr defaultColWidth="8.85546875" defaultRowHeight="15" x14ac:dyDescent="0.25"/>
  <cols>
    <col min="1" max="1" width="23.85546875" style="229" customWidth="1"/>
    <col min="2" max="3" width="13" style="229" customWidth="1"/>
    <col min="4" max="4" width="19.28515625" style="229" customWidth="1"/>
    <col min="5" max="5" width="17" style="229" customWidth="1"/>
    <col min="6" max="6" width="6" style="229" customWidth="1"/>
    <col min="7" max="7" width="8.85546875" style="229"/>
    <col min="8" max="8" width="17" style="234" customWidth="1"/>
    <col min="9" max="9" width="8.85546875" style="229"/>
    <col min="10" max="13" width="14" style="229" customWidth="1"/>
    <col min="14" max="16384" width="8.85546875" style="229"/>
  </cols>
  <sheetData>
    <row r="1" spans="1:10" x14ac:dyDescent="0.25">
      <c r="A1" s="262" t="s">
        <v>258</v>
      </c>
      <c r="B1" s="262"/>
      <c r="C1" s="262"/>
      <c r="D1" s="262"/>
      <c r="E1" s="262"/>
      <c r="F1" s="262"/>
      <c r="G1" s="47"/>
      <c r="H1" s="143"/>
      <c r="I1" s="47"/>
    </row>
    <row r="2" spans="1:10" s="102" customFormat="1" ht="12.75" x14ac:dyDescent="0.2">
      <c r="A2" s="102" t="s">
        <v>187</v>
      </c>
      <c r="B2" s="285" t="str">
        <f>'CL_1 - Screening'!C3</f>
        <v>Project Name</v>
      </c>
      <c r="C2" s="285"/>
      <c r="D2" s="285"/>
      <c r="E2" s="230">
        <f ca="1">'CL_1 - Screening'!G5</f>
        <v>43220</v>
      </c>
      <c r="F2" s="103" t="s">
        <v>194</v>
      </c>
      <c r="H2" s="106"/>
    </row>
    <row r="3" spans="1:10" s="211" customFormat="1" ht="12.75" x14ac:dyDescent="0.2">
      <c r="A3" s="104" t="s">
        <v>191</v>
      </c>
      <c r="B3" s="104"/>
      <c r="C3" s="104"/>
      <c r="D3" s="104"/>
      <c r="E3" s="104"/>
      <c r="F3" s="104"/>
      <c r="H3" s="231"/>
    </row>
    <row r="4" spans="1:10" s="211" customFormat="1" ht="12.75" x14ac:dyDescent="0.2">
      <c r="H4" s="231"/>
    </row>
    <row r="5" spans="1:10" x14ac:dyDescent="0.25">
      <c r="A5" s="232" t="s">
        <v>144</v>
      </c>
      <c r="B5" s="233"/>
      <c r="C5" s="233"/>
      <c r="D5" s="233"/>
      <c r="E5" s="233"/>
      <c r="F5" s="233"/>
    </row>
    <row r="6" spans="1:10" x14ac:dyDescent="0.25">
      <c r="D6" s="291" t="s">
        <v>254</v>
      </c>
      <c r="E6" s="291"/>
      <c r="F6" s="291"/>
      <c r="H6" s="287" t="s">
        <v>281</v>
      </c>
      <c r="I6" s="288"/>
      <c r="J6" s="289"/>
    </row>
    <row r="7" spans="1:10" x14ac:dyDescent="0.25">
      <c r="A7" s="235" t="s">
        <v>7</v>
      </c>
      <c r="B7" s="236">
        <f>IF(H7+H8=0,'DE_1 - Watershed Info'!F45,H7)</f>
        <v>2268.7499999999995</v>
      </c>
      <c r="C7" s="229" t="s">
        <v>101</v>
      </c>
      <c r="D7" s="259" t="str">
        <f>IF(H7+H8=0," ","MANUAL")</f>
        <v xml:space="preserve"> </v>
      </c>
      <c r="H7" s="134">
        <v>0</v>
      </c>
      <c r="I7" s="237" t="s">
        <v>293</v>
      </c>
      <c r="J7" s="238"/>
    </row>
    <row r="8" spans="1:10" x14ac:dyDescent="0.25">
      <c r="A8" s="235" t="s">
        <v>17</v>
      </c>
      <c r="B8" s="236">
        <f>IF(H8=0,B7*0.1,H8)</f>
        <v>226.87499999999997</v>
      </c>
      <c r="C8" s="229" t="s">
        <v>101</v>
      </c>
      <c r="D8" s="229" t="s">
        <v>195</v>
      </c>
      <c r="H8" s="134">
        <v>0</v>
      </c>
      <c r="I8" s="237" t="s">
        <v>294</v>
      </c>
      <c r="J8" s="238"/>
    </row>
    <row r="9" spans="1:10" x14ac:dyDescent="0.25">
      <c r="A9" s="235" t="s">
        <v>18</v>
      </c>
      <c r="B9" s="32"/>
      <c r="C9" s="229" t="s">
        <v>101</v>
      </c>
      <c r="D9" s="290"/>
      <c r="E9" s="290"/>
      <c r="F9" s="290"/>
    </row>
    <row r="10" spans="1:10" s="241" customFormat="1" ht="3.6" customHeight="1" x14ac:dyDescent="0.25">
      <c r="A10" s="239"/>
      <c r="B10" s="240"/>
      <c r="D10" s="242"/>
      <c r="E10" s="242"/>
      <c r="F10" s="242"/>
      <c r="H10" s="243"/>
    </row>
    <row r="11" spans="1:10" x14ac:dyDescent="0.25">
      <c r="A11" s="235" t="s">
        <v>19</v>
      </c>
      <c r="B11" s="236">
        <f>B8-B9</f>
        <v>226.87499999999997</v>
      </c>
      <c r="C11" s="229" t="s">
        <v>101</v>
      </c>
      <c r="D11" s="290" t="s">
        <v>72</v>
      </c>
      <c r="E11" s="290"/>
      <c r="F11" s="290"/>
    </row>
    <row r="13" spans="1:10" x14ac:dyDescent="0.25">
      <c r="A13" s="232" t="s">
        <v>0</v>
      </c>
      <c r="B13" s="233"/>
      <c r="C13" s="233"/>
      <c r="D13" s="233"/>
      <c r="E13" s="233"/>
      <c r="F13" s="233"/>
    </row>
    <row r="15" spans="1:10" x14ac:dyDescent="0.25">
      <c r="A15" s="232" t="s">
        <v>139</v>
      </c>
      <c r="B15" s="233"/>
      <c r="C15" s="233"/>
      <c r="D15" s="244" t="s">
        <v>299</v>
      </c>
      <c r="E15" s="256">
        <v>0</v>
      </c>
      <c r="F15" s="233"/>
    </row>
    <row r="16" spans="1:10" x14ac:dyDescent="0.25">
      <c r="A16" s="245" t="s">
        <v>300</v>
      </c>
      <c r="B16" s="245" t="s">
        <v>1</v>
      </c>
      <c r="C16" s="245" t="s">
        <v>2</v>
      </c>
      <c r="D16" s="245" t="s">
        <v>3</v>
      </c>
      <c r="E16" s="245" t="s">
        <v>4</v>
      </c>
    </row>
    <row r="17" spans="1:16" s="234" customFormat="1" x14ac:dyDescent="0.25">
      <c r="A17" s="234" t="s">
        <v>106</v>
      </c>
      <c r="B17" s="234" t="s">
        <v>106</v>
      </c>
      <c r="C17" s="234" t="s">
        <v>143</v>
      </c>
      <c r="D17" s="234" t="s">
        <v>101</v>
      </c>
      <c r="E17" s="234" t="s">
        <v>101</v>
      </c>
    </row>
    <row r="18" spans="1:16" x14ac:dyDescent="0.25">
      <c r="A18" s="255">
        <v>0</v>
      </c>
      <c r="B18" s="246">
        <f>E$15-A18</f>
        <v>0</v>
      </c>
      <c r="C18" s="33"/>
      <c r="D18" s="247"/>
      <c r="E18" s="247"/>
      <c r="J18" s="234"/>
      <c r="K18" s="234"/>
      <c r="L18" s="234"/>
      <c r="M18" s="234"/>
      <c r="N18" s="234"/>
      <c r="O18" s="234"/>
      <c r="P18" s="234"/>
    </row>
    <row r="19" spans="1:16" x14ac:dyDescent="0.25">
      <c r="A19" s="257">
        <v>1</v>
      </c>
      <c r="B19" s="246">
        <f t="shared" ref="B19:B23" si="0">E$15-A19</f>
        <v>-1</v>
      </c>
      <c r="C19" s="33"/>
      <c r="D19" s="247">
        <f>IF(A19&gt;0,(C18+C19)*(B18-B19)/2,0)</f>
        <v>0</v>
      </c>
      <c r="E19" s="247">
        <f>D19+E18</f>
        <v>0</v>
      </c>
      <c r="J19" s="234"/>
      <c r="K19" s="234"/>
      <c r="L19" s="234"/>
      <c r="M19" s="234"/>
      <c r="N19" s="234"/>
      <c r="O19" s="234"/>
      <c r="P19" s="234"/>
    </row>
    <row r="20" spans="1:16" x14ac:dyDescent="0.25">
      <c r="A20" s="257"/>
      <c r="B20" s="246">
        <f t="shared" si="0"/>
        <v>0</v>
      </c>
      <c r="C20" s="33"/>
      <c r="D20" s="247">
        <f t="shared" ref="D20:D23" si="1">IF(A20&gt;0,(C19+C20)*(B19-B20)/2,0)</f>
        <v>0</v>
      </c>
      <c r="E20" s="247">
        <f t="shared" ref="E20" si="2">D20+E19</f>
        <v>0</v>
      </c>
      <c r="J20" s="234"/>
      <c r="K20" s="234"/>
      <c r="L20" s="234"/>
      <c r="M20" s="234"/>
      <c r="N20" s="234"/>
      <c r="O20" s="234"/>
      <c r="P20" s="234"/>
    </row>
    <row r="21" spans="1:16" x14ac:dyDescent="0.25">
      <c r="A21" s="257"/>
      <c r="B21" s="246">
        <f t="shared" si="0"/>
        <v>0</v>
      </c>
      <c r="C21" s="33"/>
      <c r="D21" s="247">
        <f t="shared" si="1"/>
        <v>0</v>
      </c>
      <c r="E21" s="247">
        <f t="shared" ref="E21:E23" si="3">D21+E20</f>
        <v>0</v>
      </c>
      <c r="J21" s="234"/>
      <c r="K21" s="234"/>
      <c r="L21" s="234"/>
      <c r="M21" s="234"/>
      <c r="N21" s="234"/>
      <c r="O21" s="234"/>
      <c r="P21" s="234"/>
    </row>
    <row r="22" spans="1:16" x14ac:dyDescent="0.25">
      <c r="A22" s="257"/>
      <c r="B22" s="246">
        <f t="shared" si="0"/>
        <v>0</v>
      </c>
      <c r="C22" s="33"/>
      <c r="D22" s="247">
        <f t="shared" si="1"/>
        <v>0</v>
      </c>
      <c r="E22" s="247">
        <f t="shared" si="3"/>
        <v>0</v>
      </c>
      <c r="J22" s="234"/>
      <c r="K22" s="234"/>
      <c r="L22" s="234"/>
      <c r="M22" s="234"/>
      <c r="N22" s="234"/>
      <c r="O22" s="234"/>
      <c r="P22" s="234"/>
    </row>
    <row r="23" spans="1:16" x14ac:dyDescent="0.25">
      <c r="A23" s="257"/>
      <c r="B23" s="246">
        <f t="shared" si="0"/>
        <v>0</v>
      </c>
      <c r="C23" s="33"/>
      <c r="D23" s="247">
        <f t="shared" si="1"/>
        <v>0</v>
      </c>
      <c r="E23" s="247">
        <f t="shared" si="3"/>
        <v>0</v>
      </c>
      <c r="J23" s="234"/>
      <c r="K23" s="234"/>
      <c r="L23" s="234"/>
      <c r="M23" s="234"/>
      <c r="N23" s="234"/>
      <c r="O23" s="234"/>
      <c r="P23" s="234"/>
    </row>
    <row r="24" spans="1:16" x14ac:dyDescent="0.25">
      <c r="A24" s="234"/>
    </row>
    <row r="25" spans="1:16" x14ac:dyDescent="0.25">
      <c r="A25" s="234"/>
      <c r="E25" s="235"/>
      <c r="F25" s="248"/>
    </row>
    <row r="26" spans="1:16" x14ac:dyDescent="0.25">
      <c r="A26" s="232" t="s">
        <v>140</v>
      </c>
      <c r="B26" s="233"/>
      <c r="C26" s="233"/>
      <c r="D26" s="244" t="s">
        <v>299</v>
      </c>
      <c r="E26" s="256">
        <v>0</v>
      </c>
      <c r="F26" s="249"/>
    </row>
    <row r="27" spans="1:16" x14ac:dyDescent="0.25">
      <c r="A27" s="245" t="s">
        <v>300</v>
      </c>
      <c r="B27" s="245" t="s">
        <v>1</v>
      </c>
      <c r="C27" s="245" t="s">
        <v>2</v>
      </c>
      <c r="D27" s="245" t="s">
        <v>3</v>
      </c>
      <c r="E27" s="245" t="s">
        <v>4</v>
      </c>
      <c r="F27" s="248"/>
      <c r="K27" s="250"/>
    </row>
    <row r="28" spans="1:16" x14ac:dyDescent="0.25">
      <c r="A28" s="234" t="s">
        <v>106</v>
      </c>
      <c r="B28" s="234" t="s">
        <v>106</v>
      </c>
      <c r="C28" s="234" t="s">
        <v>143</v>
      </c>
      <c r="D28" s="234" t="s">
        <v>101</v>
      </c>
      <c r="E28" s="234" t="s">
        <v>101</v>
      </c>
      <c r="F28" s="248"/>
      <c r="K28" s="250"/>
    </row>
    <row r="29" spans="1:16" x14ac:dyDescent="0.25">
      <c r="A29" s="255">
        <v>0</v>
      </c>
      <c r="B29" s="246">
        <f>E$26-A29</f>
        <v>0</v>
      </c>
      <c r="C29" s="33"/>
      <c r="D29" s="247"/>
      <c r="E29" s="247"/>
      <c r="F29" s="248"/>
      <c r="K29" s="250"/>
    </row>
    <row r="30" spans="1:16" x14ac:dyDescent="0.25">
      <c r="A30" s="257">
        <v>1</v>
      </c>
      <c r="B30" s="246">
        <f t="shared" ref="B30:B34" si="4">E$26-A30</f>
        <v>-1</v>
      </c>
      <c r="C30" s="33"/>
      <c r="D30" s="247">
        <f>IF(A30&gt;0,(C29+C30)*(B29-B30)/2,0)</f>
        <v>0</v>
      </c>
      <c r="E30" s="247">
        <f>D30+E29</f>
        <v>0</v>
      </c>
      <c r="F30" s="248"/>
    </row>
    <row r="31" spans="1:16" x14ac:dyDescent="0.25">
      <c r="A31" s="257"/>
      <c r="B31" s="246">
        <f t="shared" si="4"/>
        <v>0</v>
      </c>
      <c r="C31" s="33"/>
      <c r="D31" s="247">
        <f t="shared" ref="D31:D34" si="5">IF(A31&gt;0,(C30+C31)*(B30-B31)/2,0)</f>
        <v>0</v>
      </c>
      <c r="E31" s="247">
        <f t="shared" ref="E31:E34" si="6">D31+E30</f>
        <v>0</v>
      </c>
      <c r="F31" s="248"/>
    </row>
    <row r="32" spans="1:16" x14ac:dyDescent="0.25">
      <c r="A32" s="257"/>
      <c r="B32" s="246">
        <f t="shared" si="4"/>
        <v>0</v>
      </c>
      <c r="C32" s="33"/>
      <c r="D32" s="247">
        <f t="shared" si="5"/>
        <v>0</v>
      </c>
      <c r="E32" s="247">
        <f t="shared" si="6"/>
        <v>0</v>
      </c>
      <c r="F32" s="248"/>
    </row>
    <row r="33" spans="1:13" x14ac:dyDescent="0.25">
      <c r="A33" s="257"/>
      <c r="B33" s="246">
        <f t="shared" si="4"/>
        <v>0</v>
      </c>
      <c r="C33" s="33"/>
      <c r="D33" s="247">
        <f t="shared" si="5"/>
        <v>0</v>
      </c>
      <c r="E33" s="247">
        <f t="shared" si="6"/>
        <v>0</v>
      </c>
      <c r="F33" s="248"/>
    </row>
    <row r="34" spans="1:13" x14ac:dyDescent="0.25">
      <c r="A34" s="257"/>
      <c r="B34" s="246">
        <f t="shared" si="4"/>
        <v>0</v>
      </c>
      <c r="C34" s="33"/>
      <c r="D34" s="247">
        <f t="shared" si="5"/>
        <v>0</v>
      </c>
      <c r="E34" s="247">
        <f t="shared" si="6"/>
        <v>0</v>
      </c>
    </row>
    <row r="36" spans="1:13" x14ac:dyDescent="0.25">
      <c r="A36" s="234"/>
      <c r="B36" s="234"/>
      <c r="J36" s="234"/>
      <c r="K36" s="234"/>
    </row>
    <row r="37" spans="1:13" x14ac:dyDescent="0.25">
      <c r="A37" s="232" t="s">
        <v>141</v>
      </c>
      <c r="B37" s="232"/>
      <c r="C37" s="232"/>
      <c r="D37" s="244" t="s">
        <v>299</v>
      </c>
      <c r="E37" s="256">
        <v>0</v>
      </c>
      <c r="F37" s="251"/>
      <c r="J37" s="234"/>
      <c r="K37" s="234"/>
      <c r="L37" s="234"/>
      <c r="M37" s="234"/>
    </row>
    <row r="38" spans="1:13" x14ac:dyDescent="0.25">
      <c r="A38" s="245" t="s">
        <v>300</v>
      </c>
      <c r="B38" s="245" t="s">
        <v>1</v>
      </c>
      <c r="C38" s="245" t="s">
        <v>2</v>
      </c>
      <c r="D38" s="245" t="s">
        <v>3</v>
      </c>
      <c r="E38" s="245" t="s">
        <v>4</v>
      </c>
      <c r="F38" s="234"/>
      <c r="J38" s="234"/>
      <c r="K38" s="234"/>
      <c r="L38" s="234"/>
      <c r="M38" s="234"/>
    </row>
    <row r="39" spans="1:13" x14ac:dyDescent="0.25">
      <c r="A39" s="234" t="s">
        <v>106</v>
      </c>
      <c r="B39" s="234" t="s">
        <v>106</v>
      </c>
      <c r="C39" s="234" t="s">
        <v>143</v>
      </c>
      <c r="D39" s="234" t="s">
        <v>101</v>
      </c>
      <c r="E39" s="234" t="s">
        <v>101</v>
      </c>
      <c r="F39" s="234"/>
      <c r="J39" s="234"/>
      <c r="K39" s="234"/>
      <c r="L39" s="234"/>
      <c r="M39" s="234"/>
    </row>
    <row r="40" spans="1:13" x14ac:dyDescent="0.25">
      <c r="A40" s="255">
        <v>0</v>
      </c>
      <c r="B40" s="246">
        <f>E$37-A40</f>
        <v>0</v>
      </c>
      <c r="C40" s="33"/>
      <c r="D40" s="247"/>
      <c r="E40" s="247"/>
      <c r="F40" s="234"/>
      <c r="J40" s="234"/>
      <c r="K40" s="234"/>
      <c r="L40" s="234"/>
      <c r="M40" s="234"/>
    </row>
    <row r="41" spans="1:13" x14ac:dyDescent="0.25">
      <c r="A41" s="257">
        <v>1</v>
      </c>
      <c r="B41" s="246">
        <f t="shared" ref="B41:B45" si="7">E$37-A41</f>
        <v>-1</v>
      </c>
      <c r="C41" s="33"/>
      <c r="D41" s="247">
        <f>IF(A41&gt;0,(C40+C41)*(B40-B41)/2,0)</f>
        <v>0</v>
      </c>
      <c r="E41" s="247">
        <f>D41+E40</f>
        <v>0</v>
      </c>
      <c r="F41" s="234"/>
      <c r="J41" s="234"/>
      <c r="K41" s="234"/>
      <c r="L41" s="234"/>
      <c r="M41" s="234"/>
    </row>
    <row r="42" spans="1:13" x14ac:dyDescent="0.25">
      <c r="A42" s="257"/>
      <c r="B42" s="246">
        <f t="shared" si="7"/>
        <v>0</v>
      </c>
      <c r="C42" s="33"/>
      <c r="D42" s="247">
        <f t="shared" ref="D42:D45" si="8">IF(A42&gt;0,(C41+C42)*(B41-B42)/2,0)</f>
        <v>0</v>
      </c>
      <c r="E42" s="247">
        <f t="shared" ref="E42:E45" si="9">D42+E41</f>
        <v>0</v>
      </c>
      <c r="F42" s="234"/>
      <c r="J42" s="234"/>
      <c r="K42" s="234"/>
      <c r="L42" s="234"/>
      <c r="M42" s="234"/>
    </row>
    <row r="43" spans="1:13" x14ac:dyDescent="0.25">
      <c r="A43" s="257"/>
      <c r="B43" s="246">
        <f t="shared" si="7"/>
        <v>0</v>
      </c>
      <c r="C43" s="33"/>
      <c r="D43" s="247">
        <f t="shared" si="8"/>
        <v>0</v>
      </c>
      <c r="E43" s="247">
        <f t="shared" si="9"/>
        <v>0</v>
      </c>
      <c r="F43" s="234"/>
      <c r="J43" s="234"/>
      <c r="K43" s="234"/>
      <c r="L43" s="234"/>
      <c r="M43" s="234"/>
    </row>
    <row r="44" spans="1:13" x14ac:dyDescent="0.25">
      <c r="A44" s="257"/>
      <c r="B44" s="246">
        <f t="shared" si="7"/>
        <v>0</v>
      </c>
      <c r="C44" s="33"/>
      <c r="D44" s="247">
        <f t="shared" si="8"/>
        <v>0</v>
      </c>
      <c r="E44" s="247">
        <f t="shared" si="9"/>
        <v>0</v>
      </c>
      <c r="F44" s="234"/>
      <c r="J44" s="234"/>
      <c r="K44" s="234"/>
      <c r="L44" s="234"/>
      <c r="M44" s="234"/>
    </row>
    <row r="45" spans="1:13" x14ac:dyDescent="0.25">
      <c r="A45" s="257"/>
      <c r="B45" s="246">
        <f t="shared" si="7"/>
        <v>0</v>
      </c>
      <c r="C45" s="33"/>
      <c r="D45" s="247">
        <f t="shared" si="8"/>
        <v>0</v>
      </c>
      <c r="E45" s="247">
        <f t="shared" si="9"/>
        <v>0</v>
      </c>
      <c r="F45" s="234"/>
      <c r="J45" s="234"/>
      <c r="K45" s="234"/>
      <c r="L45" s="234"/>
      <c r="M45" s="234"/>
    </row>
    <row r="46" spans="1:13" x14ac:dyDescent="0.25">
      <c r="A46" s="234"/>
      <c r="B46" s="234"/>
      <c r="C46" s="234"/>
      <c r="D46" s="258" t="str">
        <f>IF(H47=0," ","MANUAL")</f>
        <v xml:space="preserve"> </v>
      </c>
      <c r="E46" s="234"/>
      <c r="F46" s="234"/>
      <c r="H46" s="287" t="s">
        <v>281</v>
      </c>
      <c r="I46" s="288"/>
      <c r="J46" s="289"/>
      <c r="K46" s="234"/>
      <c r="L46" s="234"/>
      <c r="M46" s="234"/>
    </row>
    <row r="47" spans="1:13" x14ac:dyDescent="0.25">
      <c r="A47" s="234"/>
      <c r="B47" s="234"/>
      <c r="C47" s="235" t="s">
        <v>142</v>
      </c>
      <c r="D47" s="247">
        <f>IF(H47=0,MAX(E19:E23)+MAX(E30:E34)+MAX(E41:E45),H47)</f>
        <v>0</v>
      </c>
      <c r="E47" s="253" t="s">
        <v>101</v>
      </c>
      <c r="F47" s="234"/>
      <c r="H47" s="134">
        <v>0</v>
      </c>
      <c r="I47" s="237" t="s">
        <v>302</v>
      </c>
      <c r="J47" s="238"/>
      <c r="K47" s="234"/>
      <c r="L47" s="234"/>
      <c r="M47" s="234"/>
    </row>
    <row r="48" spans="1:13" x14ac:dyDescent="0.25">
      <c r="C48" s="235" t="s">
        <v>20</v>
      </c>
      <c r="D48" s="254">
        <f>(D47)/B11</f>
        <v>0</v>
      </c>
      <c r="E48" s="253" t="s">
        <v>21</v>
      </c>
      <c r="F48" s="106" t="str">
        <f>IF(D48&gt;=1,"OK","!")</f>
        <v>!</v>
      </c>
      <c r="J48" s="234"/>
      <c r="K48" s="234"/>
      <c r="L48" s="234"/>
      <c r="M48" s="234"/>
    </row>
    <row r="49" spans="1:13" x14ac:dyDescent="0.25">
      <c r="E49" s="234"/>
      <c r="F49" s="234"/>
      <c r="J49" s="234"/>
      <c r="K49" s="234"/>
      <c r="L49" s="234"/>
      <c r="M49" s="234"/>
    </row>
    <row r="50" spans="1:13" x14ac:dyDescent="0.25">
      <c r="A50" s="234"/>
      <c r="B50" s="234"/>
      <c r="C50" s="234"/>
      <c r="D50" s="234"/>
      <c r="E50" s="234"/>
      <c r="F50" s="234"/>
      <c r="J50" s="234"/>
      <c r="K50" s="234"/>
      <c r="L50" s="234"/>
      <c r="M50" s="234"/>
    </row>
    <row r="51" spans="1:13" x14ac:dyDescent="0.25">
      <c r="A51" s="234"/>
      <c r="B51" s="234"/>
      <c r="C51" s="234"/>
      <c r="D51" s="234"/>
      <c r="E51" s="234"/>
      <c r="F51" s="234"/>
      <c r="J51" s="234"/>
      <c r="K51" s="234"/>
      <c r="L51" s="234"/>
      <c r="M51" s="234"/>
    </row>
    <row r="52" spans="1:13" x14ac:dyDescent="0.25">
      <c r="A52" s="234"/>
      <c r="B52" s="234"/>
      <c r="C52" s="234"/>
      <c r="D52" s="234"/>
      <c r="E52" s="234"/>
      <c r="F52" s="234"/>
      <c r="J52" s="234"/>
      <c r="K52" s="234"/>
      <c r="L52" s="234"/>
      <c r="M52" s="234"/>
    </row>
    <row r="53" spans="1:13" x14ac:dyDescent="0.25">
      <c r="A53" s="234"/>
      <c r="B53" s="234"/>
      <c r="C53" s="234"/>
      <c r="D53" s="234"/>
      <c r="E53" s="234"/>
      <c r="F53" s="234"/>
      <c r="J53" s="234"/>
      <c r="K53" s="234"/>
      <c r="L53" s="234"/>
      <c r="M53" s="234"/>
    </row>
    <row r="54" spans="1:13" x14ac:dyDescent="0.25">
      <c r="A54" s="234"/>
      <c r="B54" s="234"/>
      <c r="C54" s="234"/>
      <c r="D54" s="252"/>
      <c r="E54" s="234"/>
      <c r="F54" s="234"/>
      <c r="J54" s="234"/>
      <c r="K54" s="234"/>
      <c r="L54" s="234"/>
      <c r="M54" s="234"/>
    </row>
    <row r="55" spans="1:13" x14ac:dyDescent="0.25">
      <c r="A55" s="234"/>
      <c r="B55" s="234"/>
      <c r="C55" s="234"/>
      <c r="D55" s="252"/>
      <c r="E55" s="234"/>
      <c r="F55" s="234"/>
      <c r="J55" s="234"/>
      <c r="K55" s="234"/>
      <c r="L55" s="234"/>
      <c r="M55" s="234"/>
    </row>
    <row r="56" spans="1:13" x14ac:dyDescent="0.25">
      <c r="A56" s="234"/>
      <c r="B56" s="234"/>
      <c r="C56" s="234"/>
      <c r="D56" s="252"/>
      <c r="E56" s="234"/>
      <c r="F56" s="234"/>
      <c r="J56" s="234"/>
      <c r="K56" s="234"/>
      <c r="L56" s="234"/>
      <c r="M56" s="234"/>
    </row>
    <row r="59" spans="1:13" x14ac:dyDescent="0.25">
      <c r="F59" s="234"/>
    </row>
    <row r="65" spans="3:4" x14ac:dyDescent="0.25">
      <c r="C65" s="234"/>
      <c r="D65" s="234"/>
    </row>
    <row r="66" spans="3:4" x14ac:dyDescent="0.25">
      <c r="C66" s="234"/>
      <c r="D66" s="234"/>
    </row>
    <row r="67" spans="3:4" x14ac:dyDescent="0.25">
      <c r="C67" s="234"/>
      <c r="D67" s="234"/>
    </row>
    <row r="68" spans="3:4" x14ac:dyDescent="0.25">
      <c r="C68" s="234"/>
      <c r="D68" s="234"/>
    </row>
    <row r="69" spans="3:4" x14ac:dyDescent="0.25">
      <c r="C69" s="234"/>
      <c r="D69" s="234"/>
    </row>
    <row r="70" spans="3:4" x14ac:dyDescent="0.25">
      <c r="C70" s="234"/>
      <c r="D70" s="234"/>
    </row>
    <row r="71" spans="3:4" x14ac:dyDescent="0.25">
      <c r="C71" s="234"/>
      <c r="D71" s="234"/>
    </row>
    <row r="72" spans="3:4" x14ac:dyDescent="0.25">
      <c r="C72" s="234"/>
      <c r="D72" s="234"/>
    </row>
    <row r="73" spans="3:4" x14ac:dyDescent="0.25">
      <c r="C73" s="234"/>
      <c r="D73" s="234"/>
    </row>
    <row r="74" spans="3:4" x14ac:dyDescent="0.25">
      <c r="C74" s="234"/>
      <c r="D74" s="234"/>
    </row>
    <row r="75" spans="3:4" x14ac:dyDescent="0.25">
      <c r="C75" s="234"/>
      <c r="D75" s="234"/>
    </row>
    <row r="76" spans="3:4" x14ac:dyDescent="0.25">
      <c r="C76" s="234"/>
      <c r="D76" s="234"/>
    </row>
    <row r="77" spans="3:4" x14ac:dyDescent="0.25">
      <c r="C77" s="234"/>
      <c r="D77" s="234"/>
    </row>
    <row r="78" spans="3:4" x14ac:dyDescent="0.25">
      <c r="C78" s="234"/>
      <c r="D78" s="234"/>
    </row>
    <row r="79" spans="3:4" x14ac:dyDescent="0.25">
      <c r="C79" s="234"/>
      <c r="D79" s="234"/>
    </row>
  </sheetData>
  <sheetProtection algorithmName="SHA-512" hashValue="oSGZD7JuVZriKvyFH4nqGjgdwIfct+zhqOEfQzm44nEEggzY4pASILo5jBdM/AdYDzMdKc8AZKgKXeOEzkSb4Q==" saltValue="XJBqH6/nvtQ5X7RWfYp/VA==" spinCount="100000" sheet="1" selectLockedCells="1"/>
  <mergeCells count="7">
    <mergeCell ref="H46:J46"/>
    <mergeCell ref="A1:F1"/>
    <mergeCell ref="H6:J6"/>
    <mergeCell ref="B2:D2"/>
    <mergeCell ref="D9:F9"/>
    <mergeCell ref="D11:F11"/>
    <mergeCell ref="D6:F6"/>
  </mergeCells>
  <conditionalFormatting sqref="F48">
    <cfRule type="cellIs" dxfId="8" priority="1" operator="equal">
      <formula>"!"</formula>
    </cfRule>
    <cfRule type="cellIs" dxfId="7" priority="2" operator="equal">
      <formula>"OK"</formula>
    </cfRule>
  </conditionalFormatting>
  <pageMargins left="0.7" right="0.7" top="0.75" bottom="0.75" header="0.3" footer="0.3"/>
  <pageSetup scale="88" orientation="portrait" r:id="rId1"/>
  <headerFooter>
    <oddFooter>&amp;LStep 4 - Pretreatment&amp;C&amp;9Iowa Stormwater Wetland Design Workbook - v1.02
Issued by IDALS - 2018&amp;RPage 5</oddFooter>
  </headerFooter>
  <rowBreaks count="1" manualBreakCount="1">
    <brk id="48" max="16383" man="1"/>
  </rowBreaks>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N66"/>
  <sheetViews>
    <sheetView view="pageBreakPreview" topLeftCell="A13" zoomScaleNormal="100" zoomScaleSheetLayoutView="100" workbookViewId="0">
      <selection activeCell="N31" sqref="N31"/>
    </sheetView>
  </sheetViews>
  <sheetFormatPr defaultColWidth="8.85546875" defaultRowHeight="12" x14ac:dyDescent="0.2"/>
  <cols>
    <col min="1" max="1" width="9.7109375" style="6" customWidth="1"/>
    <col min="2" max="5" width="14.7109375" style="6" customWidth="1"/>
    <col min="6" max="6" width="18.85546875" style="6" customWidth="1"/>
    <col min="7" max="7" width="14.7109375" style="6" customWidth="1"/>
    <col min="8" max="9" width="3.7109375" style="6" customWidth="1"/>
    <col min="10" max="10" width="8.85546875" style="6"/>
    <col min="11" max="11" width="14" style="6" customWidth="1"/>
    <col min="12" max="12" width="15.7109375" style="142" customWidth="1"/>
    <col min="13" max="13" width="3.42578125" style="6" customWidth="1"/>
    <col min="14" max="14" width="14" style="6" customWidth="1"/>
    <col min="15" max="16384" width="8.85546875" style="6"/>
  </cols>
  <sheetData>
    <row r="1" spans="1:14" ht="12.75" x14ac:dyDescent="0.2">
      <c r="B1" s="262" t="s">
        <v>259</v>
      </c>
      <c r="C1" s="262"/>
      <c r="D1" s="262"/>
      <c r="E1" s="262"/>
      <c r="F1" s="262"/>
      <c r="G1" s="262"/>
      <c r="H1" s="47"/>
      <c r="I1" s="47"/>
      <c r="J1" s="47"/>
    </row>
    <row r="2" spans="1:14" x14ac:dyDescent="0.2">
      <c r="A2" s="6" t="s">
        <v>187</v>
      </c>
      <c r="B2" s="279" t="str">
        <f>'CL_1 - Screening'!C3</f>
        <v>Project Name</v>
      </c>
      <c r="C2" s="279"/>
      <c r="D2" s="279"/>
      <c r="E2" s="279"/>
      <c r="F2" s="6" t="s">
        <v>123</v>
      </c>
      <c r="G2" s="48">
        <f ca="1">'CL_1 - Screening'!G5</f>
        <v>43220</v>
      </c>
      <c r="H2" s="48"/>
    </row>
    <row r="3" spans="1:14" s="50" customFormat="1" x14ac:dyDescent="0.2">
      <c r="A3" s="49" t="s">
        <v>192</v>
      </c>
      <c r="B3" s="49"/>
      <c r="C3" s="49"/>
      <c r="D3" s="49"/>
      <c r="E3" s="49"/>
      <c r="F3" s="49"/>
      <c r="G3" s="49"/>
      <c r="L3" s="51"/>
    </row>
    <row r="4" spans="1:14" ht="12" customHeight="1" x14ac:dyDescent="0.2">
      <c r="K4" s="292" t="s">
        <v>281</v>
      </c>
      <c r="L4" s="293"/>
      <c r="M4" s="294"/>
    </row>
    <row r="5" spans="1:14" x14ac:dyDescent="0.2">
      <c r="A5" s="52" t="str">
        <f>IF(L5&gt;0,"MANUAL"," ")</f>
        <v xml:space="preserve"> </v>
      </c>
      <c r="B5" s="6" t="s">
        <v>7</v>
      </c>
      <c r="C5" s="53">
        <f>IF(L5=0,'DE_1 - Watershed Info'!F45,L5)</f>
        <v>2268.7499999999995</v>
      </c>
      <c r="D5" s="6" t="s">
        <v>101</v>
      </c>
      <c r="E5" s="302" t="s">
        <v>274</v>
      </c>
      <c r="F5" s="302"/>
      <c r="G5" s="145">
        <v>0</v>
      </c>
      <c r="H5" s="54" t="s">
        <v>106</v>
      </c>
      <c r="K5" s="55" t="s">
        <v>7</v>
      </c>
      <c r="L5" s="89">
        <v>0</v>
      </c>
      <c r="M5" s="56" t="s">
        <v>101</v>
      </c>
    </row>
    <row r="6" spans="1:14" x14ac:dyDescent="0.2">
      <c r="A6" s="52" t="str">
        <f t="shared" ref="A6:A7" si="0">IF(L6&gt;0,"MANUAL"," ")</f>
        <v xml:space="preserve"> </v>
      </c>
      <c r="B6" s="6" t="s">
        <v>49</v>
      </c>
      <c r="C6" s="53">
        <f>IF(L6=0,'Step 4 - Pre-treat'!B11+'Step 4 - Pre-treat'!B9,L6)</f>
        <v>226.87499999999997</v>
      </c>
      <c r="D6" s="6" t="s">
        <v>101</v>
      </c>
      <c r="K6" s="55" t="s">
        <v>49</v>
      </c>
      <c r="L6" s="89">
        <v>0</v>
      </c>
      <c r="M6" s="56" t="s">
        <v>101</v>
      </c>
    </row>
    <row r="7" spans="1:14" x14ac:dyDescent="0.2">
      <c r="A7" s="52" t="str">
        <f t="shared" si="0"/>
        <v xml:space="preserve"> </v>
      </c>
      <c r="B7" s="6" t="s">
        <v>146</v>
      </c>
      <c r="C7" s="53">
        <f>IF(L7=0,C5-C6,L7)</f>
        <v>2041.8749999999995</v>
      </c>
      <c r="D7" s="6" t="s">
        <v>101</v>
      </c>
      <c r="K7" s="57" t="s">
        <v>146</v>
      </c>
      <c r="L7" s="90">
        <v>0</v>
      </c>
      <c r="M7" s="58" t="s">
        <v>101</v>
      </c>
    </row>
    <row r="9" spans="1:14" x14ac:dyDescent="0.2">
      <c r="A9" s="59" t="s">
        <v>0</v>
      </c>
      <c r="C9" s="297" t="s">
        <v>280</v>
      </c>
      <c r="D9" s="297"/>
      <c r="E9" s="297"/>
      <c r="F9" s="297"/>
      <c r="G9" s="297"/>
      <c r="H9" s="297"/>
      <c r="I9" s="297"/>
    </row>
    <row r="10" spans="1:14" x14ac:dyDescent="0.2">
      <c r="B10" s="60"/>
      <c r="C10" s="61"/>
      <c r="D10" s="59"/>
      <c r="E10" s="59"/>
      <c r="F10" s="59"/>
      <c r="G10" s="59"/>
    </row>
    <row r="11" spans="1:14" x14ac:dyDescent="0.2">
      <c r="A11" s="62" t="s">
        <v>145</v>
      </c>
      <c r="B11" s="63"/>
      <c r="C11" s="62"/>
      <c r="D11" s="62"/>
      <c r="E11" s="62"/>
      <c r="F11" s="62"/>
      <c r="G11" s="64"/>
      <c r="H11" s="63"/>
      <c r="I11" s="63"/>
    </row>
    <row r="12" spans="1:14" x14ac:dyDescent="0.2">
      <c r="A12" s="60" t="s">
        <v>269</v>
      </c>
      <c r="B12" s="60" t="s">
        <v>1</v>
      </c>
      <c r="C12" s="60" t="s">
        <v>151</v>
      </c>
      <c r="D12" s="60" t="s">
        <v>265</v>
      </c>
      <c r="E12" s="60" t="s">
        <v>5</v>
      </c>
      <c r="F12" s="60" t="s">
        <v>3</v>
      </c>
      <c r="G12" s="60" t="s">
        <v>4</v>
      </c>
    </row>
    <row r="13" spans="1:14" s="142" customFormat="1" x14ac:dyDescent="0.2">
      <c r="A13" s="65" t="s">
        <v>106</v>
      </c>
      <c r="B13" s="65" t="s">
        <v>106</v>
      </c>
      <c r="C13" s="65" t="s">
        <v>143</v>
      </c>
      <c r="D13" s="65" t="s">
        <v>143</v>
      </c>
      <c r="E13" s="65" t="s">
        <v>106</v>
      </c>
      <c r="F13" s="65" t="s">
        <v>101</v>
      </c>
      <c r="G13" s="65" t="s">
        <v>101</v>
      </c>
      <c r="H13" s="65"/>
      <c r="I13" s="65"/>
    </row>
    <row r="14" spans="1:14" x14ac:dyDescent="0.2">
      <c r="A14" s="66">
        <v>0</v>
      </c>
      <c r="B14" s="39">
        <f>G5</f>
        <v>0</v>
      </c>
      <c r="C14" s="42"/>
      <c r="D14" s="53"/>
      <c r="K14" s="142"/>
    </row>
    <row r="15" spans="1:14" x14ac:dyDescent="0.2">
      <c r="A15" s="67">
        <v>0.5</v>
      </c>
      <c r="B15" s="40">
        <f>B$14-A15</f>
        <v>-0.5</v>
      </c>
      <c r="C15" s="43"/>
      <c r="D15" s="68" t="str">
        <f>IF(C15&gt;0,(C14-C15),"NA")</f>
        <v>NA</v>
      </c>
      <c r="E15" s="67" t="str">
        <f>IF(C15&gt;0,(B$14-(B14+B15)/2),"NA")</f>
        <v>NA</v>
      </c>
      <c r="F15" s="68" t="str">
        <f>IF(C15&gt;0,(ROUND(D15*E15,0)),"NA")</f>
        <v>NA</v>
      </c>
      <c r="G15" s="91" t="str">
        <f>IF(F15=$J$40,"NA",(F15+G14))</f>
        <v>NA</v>
      </c>
      <c r="H15" s="69" t="s">
        <v>270</v>
      </c>
      <c r="I15" s="298" t="s">
        <v>271</v>
      </c>
      <c r="K15" s="142"/>
      <c r="M15" s="142"/>
      <c r="N15" s="142"/>
    </row>
    <row r="16" spans="1:14" x14ac:dyDescent="0.2">
      <c r="A16" s="67">
        <v>1</v>
      </c>
      <c r="B16" s="40">
        <f t="shared" ref="B16:B32" si="1">B$14-A16</f>
        <v>-1</v>
      </c>
      <c r="C16" s="43"/>
      <c r="D16" s="68" t="str">
        <f t="shared" ref="D16:D19" si="2">IF(C16&gt;0,(C15-C16),"NA")</f>
        <v>NA</v>
      </c>
      <c r="E16" s="67" t="str">
        <f t="shared" ref="E16:E19" si="3">IF(C16&gt;0,(B$14-(B15+B16)/2),"NA")</f>
        <v>NA</v>
      </c>
      <c r="F16" s="68" t="str">
        <f t="shared" ref="F16:F19" si="4">IF(C16&gt;0,(ROUND(D16*E16,0)),"NA")</f>
        <v>NA</v>
      </c>
      <c r="G16" s="93" t="str">
        <f t="shared" ref="G16:G20" si="5">IF(F16=$J$40,"NA",(F16+G15))</f>
        <v>NA</v>
      </c>
      <c r="H16" s="300" t="s">
        <v>272</v>
      </c>
      <c r="I16" s="298"/>
      <c r="K16" s="142"/>
      <c r="M16" s="142"/>
      <c r="N16" s="142"/>
    </row>
    <row r="17" spans="1:14" x14ac:dyDescent="0.2">
      <c r="A17" s="70">
        <v>1.5</v>
      </c>
      <c r="B17" s="41">
        <f t="shared" si="1"/>
        <v>-1.5</v>
      </c>
      <c r="C17" s="44"/>
      <c r="D17" s="71" t="str">
        <f t="shared" si="2"/>
        <v>NA</v>
      </c>
      <c r="E17" s="70" t="str">
        <f t="shared" si="3"/>
        <v>NA</v>
      </c>
      <c r="F17" s="71" t="str">
        <f t="shared" si="4"/>
        <v>NA</v>
      </c>
      <c r="G17" s="94" t="str">
        <f t="shared" si="5"/>
        <v>NA</v>
      </c>
      <c r="H17" s="301"/>
      <c r="I17" s="299"/>
      <c r="K17" s="142"/>
      <c r="M17" s="142"/>
      <c r="N17" s="142"/>
    </row>
    <row r="18" spans="1:14" ht="12" customHeight="1" x14ac:dyDescent="0.2">
      <c r="A18" s="40">
        <f>2</f>
        <v>2</v>
      </c>
      <c r="B18" s="39">
        <f t="shared" si="1"/>
        <v>-2</v>
      </c>
      <c r="C18" s="42"/>
      <c r="D18" s="68" t="str">
        <f t="shared" si="2"/>
        <v>NA</v>
      </c>
      <c r="E18" s="67" t="str">
        <f t="shared" si="3"/>
        <v>NA</v>
      </c>
      <c r="F18" s="68" t="str">
        <f t="shared" si="4"/>
        <v>NA</v>
      </c>
      <c r="G18" s="92" t="str">
        <f t="shared" si="5"/>
        <v>NA</v>
      </c>
      <c r="H18" s="295" t="s">
        <v>273</v>
      </c>
      <c r="I18" s="295"/>
      <c r="K18" s="142"/>
      <c r="M18" s="142"/>
      <c r="N18" s="142"/>
    </row>
    <row r="19" spans="1:14" x14ac:dyDescent="0.2">
      <c r="A19" s="40">
        <f>A18+1</f>
        <v>3</v>
      </c>
      <c r="B19" s="39">
        <f t="shared" si="1"/>
        <v>-3</v>
      </c>
      <c r="C19" s="42"/>
      <c r="D19" s="68" t="str">
        <f t="shared" si="2"/>
        <v>NA</v>
      </c>
      <c r="E19" s="67" t="str">
        <f t="shared" si="3"/>
        <v>NA</v>
      </c>
      <c r="F19" s="68" t="str">
        <f t="shared" si="4"/>
        <v>NA</v>
      </c>
      <c r="G19" s="92" t="str">
        <f t="shared" si="5"/>
        <v>NA</v>
      </c>
      <c r="H19" s="296"/>
      <c r="I19" s="296"/>
      <c r="K19" s="142"/>
      <c r="M19" s="142"/>
      <c r="N19" s="142"/>
    </row>
    <row r="20" spans="1:14" x14ac:dyDescent="0.2">
      <c r="A20" s="45">
        <f>A19+1</f>
        <v>4</v>
      </c>
      <c r="B20" s="39">
        <f t="shared" si="1"/>
        <v>-4</v>
      </c>
      <c r="C20" s="43"/>
      <c r="D20" s="68" t="str">
        <f>IF(C19&gt;0,(C19-C20),"NA")</f>
        <v>NA</v>
      </c>
      <c r="E20" s="67" t="str">
        <f>IF(C19&gt;0,(B$14-(B19+B20)/2),"NA")</f>
        <v>NA</v>
      </c>
      <c r="F20" s="68" t="str">
        <f>IF(C19&gt;0,(ROUND(D20*E20,0)),"NA")</f>
        <v>NA</v>
      </c>
      <c r="G20" s="92" t="str">
        <f t="shared" si="5"/>
        <v>NA</v>
      </c>
      <c r="H20" s="296"/>
      <c r="I20" s="296"/>
      <c r="K20" s="142"/>
      <c r="M20" s="142"/>
      <c r="N20" s="142"/>
    </row>
    <row r="21" spans="1:14" x14ac:dyDescent="0.2">
      <c r="A21" s="45">
        <f t="shared" ref="A21:A32" si="6">A20+1</f>
        <v>5</v>
      </c>
      <c r="B21" s="39">
        <f t="shared" si="1"/>
        <v>-5</v>
      </c>
      <c r="C21" s="43"/>
      <c r="D21" s="68" t="str">
        <f t="shared" ref="D21:D32" si="7">IF(C20&gt;0,(C20-C21),"NA")</f>
        <v>NA</v>
      </c>
      <c r="E21" s="67" t="str">
        <f t="shared" ref="E21:E32" si="8">IF(C20&gt;0,(B$14-(B20+B21)/2),"NA")</f>
        <v>NA</v>
      </c>
      <c r="F21" s="68" t="str">
        <f t="shared" ref="F21:F32" si="9">IF(C20&gt;0,(ROUND(D21*E21,0)),"NA")</f>
        <v>NA</v>
      </c>
      <c r="G21" s="92" t="str">
        <f t="shared" ref="G21:G32" si="10">IF(F21=$J$40,"NA",(F21+G20))</f>
        <v>NA</v>
      </c>
      <c r="H21" s="296"/>
      <c r="I21" s="296"/>
      <c r="K21" s="142"/>
      <c r="M21" s="142"/>
      <c r="N21" s="142"/>
    </row>
    <row r="22" spans="1:14" x14ac:dyDescent="0.2">
      <c r="A22" s="45">
        <f t="shared" si="6"/>
        <v>6</v>
      </c>
      <c r="B22" s="39">
        <f t="shared" si="1"/>
        <v>-6</v>
      </c>
      <c r="C22" s="43"/>
      <c r="D22" s="68" t="str">
        <f t="shared" si="7"/>
        <v>NA</v>
      </c>
      <c r="E22" s="67" t="str">
        <f t="shared" si="8"/>
        <v>NA</v>
      </c>
      <c r="F22" s="68" t="str">
        <f t="shared" si="9"/>
        <v>NA</v>
      </c>
      <c r="G22" s="92" t="str">
        <f t="shared" si="10"/>
        <v>NA</v>
      </c>
      <c r="H22" s="296"/>
      <c r="I22" s="296"/>
      <c r="K22" s="142"/>
      <c r="M22" s="142"/>
      <c r="N22" s="142"/>
    </row>
    <row r="23" spans="1:14" x14ac:dyDescent="0.2">
      <c r="A23" s="45">
        <f t="shared" si="6"/>
        <v>7</v>
      </c>
      <c r="B23" s="39">
        <f t="shared" si="1"/>
        <v>-7</v>
      </c>
      <c r="C23" s="43"/>
      <c r="D23" s="68" t="str">
        <f t="shared" si="7"/>
        <v>NA</v>
      </c>
      <c r="E23" s="67" t="str">
        <f t="shared" si="8"/>
        <v>NA</v>
      </c>
      <c r="F23" s="68" t="str">
        <f t="shared" si="9"/>
        <v>NA</v>
      </c>
      <c r="G23" s="92" t="str">
        <f t="shared" si="10"/>
        <v>NA</v>
      </c>
      <c r="H23" s="296"/>
      <c r="I23" s="296"/>
      <c r="K23" s="142"/>
      <c r="M23" s="142"/>
      <c r="N23" s="142"/>
    </row>
    <row r="24" spans="1:14" x14ac:dyDescent="0.2">
      <c r="A24" s="45">
        <f t="shared" si="6"/>
        <v>8</v>
      </c>
      <c r="B24" s="39">
        <f t="shared" si="1"/>
        <v>-8</v>
      </c>
      <c r="C24" s="43"/>
      <c r="D24" s="68" t="str">
        <f t="shared" si="7"/>
        <v>NA</v>
      </c>
      <c r="E24" s="67" t="str">
        <f t="shared" si="8"/>
        <v>NA</v>
      </c>
      <c r="F24" s="68" t="str">
        <f t="shared" si="9"/>
        <v>NA</v>
      </c>
      <c r="G24" s="92" t="str">
        <f t="shared" si="10"/>
        <v>NA</v>
      </c>
      <c r="H24" s="296"/>
      <c r="I24" s="296"/>
      <c r="K24" s="142"/>
      <c r="M24" s="142"/>
      <c r="N24" s="142"/>
    </row>
    <row r="25" spans="1:14" x14ac:dyDescent="0.2">
      <c r="A25" s="45">
        <f t="shared" si="6"/>
        <v>9</v>
      </c>
      <c r="B25" s="39">
        <f t="shared" si="1"/>
        <v>-9</v>
      </c>
      <c r="C25" s="43"/>
      <c r="D25" s="68" t="str">
        <f t="shared" si="7"/>
        <v>NA</v>
      </c>
      <c r="E25" s="67" t="str">
        <f t="shared" si="8"/>
        <v>NA</v>
      </c>
      <c r="F25" s="68" t="str">
        <f t="shared" si="9"/>
        <v>NA</v>
      </c>
      <c r="G25" s="92" t="str">
        <f t="shared" si="10"/>
        <v>NA</v>
      </c>
      <c r="H25" s="296"/>
      <c r="I25" s="296"/>
      <c r="K25" s="142"/>
      <c r="M25" s="142"/>
      <c r="N25" s="142"/>
    </row>
    <row r="26" spans="1:14" x14ac:dyDescent="0.2">
      <c r="A26" s="45">
        <f t="shared" si="6"/>
        <v>10</v>
      </c>
      <c r="B26" s="39">
        <f t="shared" si="1"/>
        <v>-10</v>
      </c>
      <c r="C26" s="43"/>
      <c r="D26" s="68" t="str">
        <f t="shared" si="7"/>
        <v>NA</v>
      </c>
      <c r="E26" s="67" t="str">
        <f t="shared" si="8"/>
        <v>NA</v>
      </c>
      <c r="F26" s="68" t="str">
        <f t="shared" si="9"/>
        <v>NA</v>
      </c>
      <c r="G26" s="92" t="str">
        <f t="shared" si="10"/>
        <v>NA</v>
      </c>
      <c r="H26" s="296"/>
      <c r="I26" s="296"/>
      <c r="K26" s="142"/>
      <c r="M26" s="142"/>
      <c r="N26" s="142"/>
    </row>
    <row r="27" spans="1:14" x14ac:dyDescent="0.2">
      <c r="A27" s="45">
        <f t="shared" si="6"/>
        <v>11</v>
      </c>
      <c r="B27" s="39">
        <f t="shared" si="1"/>
        <v>-11</v>
      </c>
      <c r="C27" s="43"/>
      <c r="D27" s="68" t="str">
        <f t="shared" si="7"/>
        <v>NA</v>
      </c>
      <c r="E27" s="67" t="str">
        <f t="shared" si="8"/>
        <v>NA</v>
      </c>
      <c r="F27" s="68" t="str">
        <f t="shared" si="9"/>
        <v>NA</v>
      </c>
      <c r="G27" s="92" t="str">
        <f t="shared" si="10"/>
        <v>NA</v>
      </c>
      <c r="H27" s="296"/>
      <c r="I27" s="296"/>
      <c r="K27" s="142"/>
      <c r="M27" s="142"/>
      <c r="N27" s="142"/>
    </row>
    <row r="28" spans="1:14" x14ac:dyDescent="0.2">
      <c r="A28" s="45">
        <f t="shared" si="6"/>
        <v>12</v>
      </c>
      <c r="B28" s="39">
        <f t="shared" si="1"/>
        <v>-12</v>
      </c>
      <c r="C28" s="43"/>
      <c r="D28" s="68" t="str">
        <f t="shared" si="7"/>
        <v>NA</v>
      </c>
      <c r="E28" s="67" t="str">
        <f t="shared" si="8"/>
        <v>NA</v>
      </c>
      <c r="F28" s="68" t="str">
        <f t="shared" si="9"/>
        <v>NA</v>
      </c>
      <c r="G28" s="92" t="str">
        <f t="shared" si="10"/>
        <v>NA</v>
      </c>
      <c r="H28" s="296"/>
      <c r="I28" s="296"/>
      <c r="K28" s="142"/>
      <c r="M28" s="142"/>
      <c r="N28" s="142"/>
    </row>
    <row r="29" spans="1:14" x14ac:dyDescent="0.2">
      <c r="A29" s="45">
        <f t="shared" si="6"/>
        <v>13</v>
      </c>
      <c r="B29" s="39">
        <f t="shared" si="1"/>
        <v>-13</v>
      </c>
      <c r="C29" s="43"/>
      <c r="D29" s="68" t="str">
        <f t="shared" si="7"/>
        <v>NA</v>
      </c>
      <c r="E29" s="67" t="str">
        <f t="shared" si="8"/>
        <v>NA</v>
      </c>
      <c r="F29" s="68" t="str">
        <f t="shared" si="9"/>
        <v>NA</v>
      </c>
      <c r="G29" s="92" t="str">
        <f t="shared" si="10"/>
        <v>NA</v>
      </c>
      <c r="H29" s="296"/>
      <c r="I29" s="296"/>
      <c r="K29" s="142"/>
      <c r="M29" s="142"/>
      <c r="N29" s="142"/>
    </row>
    <row r="30" spans="1:14" x14ac:dyDescent="0.2">
      <c r="A30" s="45">
        <f t="shared" si="6"/>
        <v>14</v>
      </c>
      <c r="B30" s="39">
        <f t="shared" si="1"/>
        <v>-14</v>
      </c>
      <c r="C30" s="86"/>
      <c r="D30" s="68" t="str">
        <f t="shared" si="7"/>
        <v>NA</v>
      </c>
      <c r="E30" s="67" t="str">
        <f t="shared" si="8"/>
        <v>NA</v>
      </c>
      <c r="F30" s="68" t="str">
        <f t="shared" si="9"/>
        <v>NA</v>
      </c>
      <c r="G30" s="92" t="str">
        <f t="shared" si="10"/>
        <v>NA</v>
      </c>
      <c r="H30" s="296"/>
      <c r="I30" s="296"/>
      <c r="K30" s="142"/>
      <c r="M30" s="142"/>
      <c r="N30" s="142"/>
    </row>
    <row r="31" spans="1:14" x14ac:dyDescent="0.2">
      <c r="A31" s="46">
        <f t="shared" si="6"/>
        <v>15</v>
      </c>
      <c r="B31" s="39">
        <f t="shared" si="1"/>
        <v>-15</v>
      </c>
      <c r="C31" s="87"/>
      <c r="D31" s="68" t="str">
        <f t="shared" si="7"/>
        <v>NA</v>
      </c>
      <c r="E31" s="67" t="str">
        <f t="shared" si="8"/>
        <v>NA</v>
      </c>
      <c r="F31" s="68" t="str">
        <f t="shared" si="9"/>
        <v>NA</v>
      </c>
      <c r="G31" s="92" t="str">
        <f t="shared" si="10"/>
        <v>NA</v>
      </c>
      <c r="H31" s="296"/>
      <c r="I31" s="296"/>
      <c r="K31" s="142"/>
      <c r="M31" s="142"/>
      <c r="N31" s="142"/>
    </row>
    <row r="32" spans="1:14" x14ac:dyDescent="0.2">
      <c r="A32" s="46">
        <f t="shared" si="6"/>
        <v>16</v>
      </c>
      <c r="B32" s="39">
        <f t="shared" si="1"/>
        <v>-16</v>
      </c>
      <c r="C32" s="88"/>
      <c r="D32" s="68" t="str">
        <f t="shared" si="7"/>
        <v>NA</v>
      </c>
      <c r="E32" s="67" t="str">
        <f t="shared" si="8"/>
        <v>NA</v>
      </c>
      <c r="F32" s="68" t="str">
        <f t="shared" si="9"/>
        <v>NA</v>
      </c>
      <c r="G32" s="92" t="str">
        <f t="shared" si="10"/>
        <v>NA</v>
      </c>
      <c r="H32" s="296"/>
      <c r="I32" s="296"/>
    </row>
    <row r="33" spans="1:10" x14ac:dyDescent="0.2">
      <c r="A33" s="66"/>
      <c r="B33" s="72" t="s">
        <v>152</v>
      </c>
    </row>
    <row r="34" spans="1:10" x14ac:dyDescent="0.2">
      <c r="A34" s="66"/>
      <c r="B34" s="72" t="s">
        <v>266</v>
      </c>
    </row>
    <row r="35" spans="1:10" x14ac:dyDescent="0.2">
      <c r="A35" s="66"/>
    </row>
    <row r="36" spans="1:10" x14ac:dyDescent="0.2">
      <c r="A36" s="73" t="s">
        <v>147</v>
      </c>
      <c r="B36" s="73"/>
      <c r="C36" s="73"/>
      <c r="D36" s="73"/>
      <c r="E36" s="73"/>
      <c r="F36" s="73"/>
      <c r="G36" s="73"/>
      <c r="H36" s="74"/>
      <c r="I36" s="74"/>
    </row>
    <row r="37" spans="1:10" x14ac:dyDescent="0.2">
      <c r="A37" s="60" t="s">
        <v>275</v>
      </c>
      <c r="B37" s="60" t="s">
        <v>1</v>
      </c>
      <c r="C37" s="60" t="s">
        <v>2</v>
      </c>
      <c r="D37" s="60" t="s">
        <v>3</v>
      </c>
      <c r="E37" s="60" t="s">
        <v>4</v>
      </c>
      <c r="F37" s="60"/>
      <c r="G37" s="60"/>
    </row>
    <row r="38" spans="1:10" x14ac:dyDescent="0.2">
      <c r="A38" s="65" t="s">
        <v>106</v>
      </c>
      <c r="B38" s="65" t="s">
        <v>106</v>
      </c>
      <c r="C38" s="65" t="s">
        <v>143</v>
      </c>
      <c r="D38" s="65" t="s">
        <v>101</v>
      </c>
      <c r="E38" s="65" t="s">
        <v>101</v>
      </c>
    </row>
    <row r="39" spans="1:10" x14ac:dyDescent="0.2">
      <c r="A39" s="66">
        <v>0</v>
      </c>
      <c r="B39" s="39">
        <f>G5</f>
        <v>0</v>
      </c>
      <c r="C39" s="42"/>
      <c r="D39" s="75"/>
      <c r="E39" s="75"/>
    </row>
    <row r="40" spans="1:10" x14ac:dyDescent="0.2">
      <c r="A40" s="46">
        <v>1</v>
      </c>
      <c r="B40" s="39">
        <f>B$14+A40</f>
        <v>1</v>
      </c>
      <c r="C40" s="42"/>
      <c r="D40" s="75" t="str">
        <f>IF(C40&gt;0,((C39+C40)*(B40-B39)/2),"NA")</f>
        <v>NA</v>
      </c>
      <c r="E40" s="75" t="str">
        <f t="shared" ref="E40:E45" si="11">IF(D40=$J$40,"NA",(D40+E39))</f>
        <v>NA</v>
      </c>
      <c r="J40" s="6" t="s">
        <v>276</v>
      </c>
    </row>
    <row r="41" spans="1:10" x14ac:dyDescent="0.2">
      <c r="A41" s="46">
        <f>A40+1</f>
        <v>2</v>
      </c>
      <c r="B41" s="39">
        <f t="shared" ref="B41:B49" si="12">B$14+A41</f>
        <v>2</v>
      </c>
      <c r="C41" s="42"/>
      <c r="D41" s="75" t="str">
        <f t="shared" ref="D41:D45" si="13">IF(C41&gt;0,((C40+C41)*(B41-B40)/2),"NA")</f>
        <v>NA</v>
      </c>
      <c r="E41" s="75" t="str">
        <f t="shared" si="11"/>
        <v>NA</v>
      </c>
    </row>
    <row r="42" spans="1:10" x14ac:dyDescent="0.2">
      <c r="A42" s="46">
        <f t="shared" ref="A42:A50" si="14">A41+1</f>
        <v>3</v>
      </c>
      <c r="B42" s="39">
        <f t="shared" si="12"/>
        <v>3</v>
      </c>
      <c r="C42" s="42"/>
      <c r="D42" s="75" t="str">
        <f t="shared" si="13"/>
        <v>NA</v>
      </c>
      <c r="E42" s="75" t="str">
        <f t="shared" si="11"/>
        <v>NA</v>
      </c>
    </row>
    <row r="43" spans="1:10" x14ac:dyDescent="0.2">
      <c r="A43" s="46">
        <f t="shared" si="14"/>
        <v>4</v>
      </c>
      <c r="B43" s="39">
        <f t="shared" si="12"/>
        <v>4</v>
      </c>
      <c r="C43" s="42"/>
      <c r="D43" s="75" t="str">
        <f t="shared" si="13"/>
        <v>NA</v>
      </c>
      <c r="E43" s="75" t="str">
        <f t="shared" si="11"/>
        <v>NA</v>
      </c>
    </row>
    <row r="44" spans="1:10" x14ac:dyDescent="0.2">
      <c r="A44" s="46">
        <f t="shared" si="14"/>
        <v>5</v>
      </c>
      <c r="B44" s="39">
        <f t="shared" si="12"/>
        <v>5</v>
      </c>
      <c r="C44" s="42"/>
      <c r="D44" s="75" t="str">
        <f t="shared" si="13"/>
        <v>NA</v>
      </c>
      <c r="E44" s="75" t="str">
        <f t="shared" si="11"/>
        <v>NA</v>
      </c>
    </row>
    <row r="45" spans="1:10" x14ac:dyDescent="0.2">
      <c r="A45" s="46">
        <f t="shared" si="14"/>
        <v>6</v>
      </c>
      <c r="B45" s="39">
        <f t="shared" si="12"/>
        <v>6</v>
      </c>
      <c r="C45" s="42"/>
      <c r="D45" s="75" t="str">
        <f t="shared" si="13"/>
        <v>NA</v>
      </c>
      <c r="E45" s="75" t="str">
        <f t="shared" si="11"/>
        <v>NA</v>
      </c>
    </row>
    <row r="46" spans="1:10" x14ac:dyDescent="0.2">
      <c r="A46" s="46">
        <f t="shared" si="14"/>
        <v>7</v>
      </c>
      <c r="B46" s="39">
        <f t="shared" si="12"/>
        <v>7</v>
      </c>
      <c r="C46" s="42"/>
      <c r="D46" s="75" t="str">
        <f t="shared" ref="D46:D50" si="15">IF(C46&gt;0,((C45+C46)*(B46-B45)/2),"NA")</f>
        <v>NA</v>
      </c>
      <c r="E46" s="75" t="str">
        <f t="shared" ref="E46:E50" si="16">IF(D46=$J$40,"NA",(D46+E45))</f>
        <v>NA</v>
      </c>
    </row>
    <row r="47" spans="1:10" x14ac:dyDescent="0.2">
      <c r="A47" s="46">
        <f t="shared" si="14"/>
        <v>8</v>
      </c>
      <c r="B47" s="39">
        <f t="shared" si="12"/>
        <v>8</v>
      </c>
      <c r="C47" s="42"/>
      <c r="D47" s="75" t="str">
        <f t="shared" si="15"/>
        <v>NA</v>
      </c>
      <c r="E47" s="75" t="str">
        <f t="shared" si="16"/>
        <v>NA</v>
      </c>
    </row>
    <row r="48" spans="1:10" x14ac:dyDescent="0.2">
      <c r="A48" s="46">
        <f t="shared" si="14"/>
        <v>9</v>
      </c>
      <c r="B48" s="39">
        <f t="shared" si="12"/>
        <v>9</v>
      </c>
      <c r="C48" s="42"/>
      <c r="D48" s="75" t="str">
        <f t="shared" si="15"/>
        <v>NA</v>
      </c>
      <c r="E48" s="75" t="str">
        <f t="shared" si="16"/>
        <v>NA</v>
      </c>
    </row>
    <row r="49" spans="1:8" x14ac:dyDescent="0.2">
      <c r="A49" s="46">
        <f t="shared" si="14"/>
        <v>10</v>
      </c>
      <c r="B49" s="39">
        <f t="shared" si="12"/>
        <v>10</v>
      </c>
      <c r="C49" s="42"/>
      <c r="D49" s="75" t="str">
        <f t="shared" si="15"/>
        <v>NA</v>
      </c>
      <c r="E49" s="75" t="str">
        <f t="shared" si="16"/>
        <v>NA</v>
      </c>
    </row>
    <row r="50" spans="1:8" x14ac:dyDescent="0.2">
      <c r="A50" s="46">
        <f t="shared" si="14"/>
        <v>11</v>
      </c>
      <c r="B50" s="39">
        <f t="shared" ref="B50" si="17">B$14+A50</f>
        <v>11</v>
      </c>
      <c r="C50" s="42"/>
      <c r="D50" s="75" t="str">
        <f t="shared" si="15"/>
        <v>NA</v>
      </c>
      <c r="E50" s="75" t="str">
        <f t="shared" si="16"/>
        <v>NA</v>
      </c>
    </row>
    <row r="51" spans="1:8" x14ac:dyDescent="0.2">
      <c r="A51" s="66"/>
      <c r="D51" s="142"/>
      <c r="E51" s="142"/>
    </row>
    <row r="52" spans="1:8" x14ac:dyDescent="0.2">
      <c r="A52" s="66"/>
      <c r="C52" s="63"/>
      <c r="D52" s="76" t="s">
        <v>153</v>
      </c>
      <c r="E52" s="77">
        <f>G52/43560</f>
        <v>0</v>
      </c>
      <c r="F52" s="63" t="s">
        <v>277</v>
      </c>
      <c r="G52" s="78">
        <f>MAX(G15:G32)</f>
        <v>0</v>
      </c>
      <c r="H52" s="63" t="s">
        <v>101</v>
      </c>
    </row>
    <row r="53" spans="1:8" x14ac:dyDescent="0.2">
      <c r="A53" s="66"/>
      <c r="C53" s="74"/>
      <c r="D53" s="79" t="s">
        <v>154</v>
      </c>
      <c r="E53" s="80">
        <f>G53/43560</f>
        <v>0</v>
      </c>
      <c r="F53" s="74" t="s">
        <v>277</v>
      </c>
      <c r="G53" s="81">
        <f>MAX(E40:E49)</f>
        <v>0</v>
      </c>
      <c r="H53" s="74" t="s">
        <v>101</v>
      </c>
    </row>
    <row r="54" spans="1:8" x14ac:dyDescent="0.2">
      <c r="D54" s="82" t="s">
        <v>234</v>
      </c>
      <c r="E54" s="83">
        <f>SUM(E52:E53)</f>
        <v>0</v>
      </c>
      <c r="F54" s="6" t="s">
        <v>277</v>
      </c>
    </row>
    <row r="55" spans="1:8" ht="10.15" customHeight="1" x14ac:dyDescent="0.2">
      <c r="D55" s="142"/>
      <c r="E55" s="144" t="s">
        <v>303</v>
      </c>
    </row>
    <row r="56" spans="1:8" x14ac:dyDescent="0.2">
      <c r="D56" s="142"/>
      <c r="E56" s="142"/>
    </row>
    <row r="57" spans="1:8" x14ac:dyDescent="0.2">
      <c r="D57" s="82" t="s">
        <v>155</v>
      </c>
      <c r="E57" s="84">
        <f>G52/C7</f>
        <v>0</v>
      </c>
      <c r="F57" s="6" t="s">
        <v>156</v>
      </c>
      <c r="G57" s="142" t="str">
        <f>IF(E57&gt;=1,"OK",IF(E57&gt;=0.5,"ED","!"))</f>
        <v>!</v>
      </c>
    </row>
    <row r="58" spans="1:8" x14ac:dyDescent="0.2">
      <c r="D58" s="142"/>
      <c r="E58" s="142"/>
    </row>
    <row r="59" spans="1:8" x14ac:dyDescent="0.2">
      <c r="D59" s="82" t="s">
        <v>6</v>
      </c>
      <c r="E59" s="84" t="e">
        <f>G17/C5</f>
        <v>#VALUE!</v>
      </c>
      <c r="F59" s="6" t="s">
        <v>148</v>
      </c>
      <c r="G59" s="142" t="e">
        <f>IF(E59&gt;=0.25,"OK","!")</f>
        <v>#VALUE!</v>
      </c>
    </row>
    <row r="60" spans="1:8" x14ac:dyDescent="0.2">
      <c r="D60" s="82" t="s">
        <v>13</v>
      </c>
      <c r="E60" s="84" t="e">
        <f>(D16+D17)/C14</f>
        <v>#VALUE!</v>
      </c>
    </row>
    <row r="61" spans="1:8" x14ac:dyDescent="0.2">
      <c r="D61" s="82" t="s">
        <v>14</v>
      </c>
      <c r="E61" s="84" t="e">
        <f>D15/C14</f>
        <v>#VALUE!</v>
      </c>
    </row>
    <row r="62" spans="1:8" x14ac:dyDescent="0.2">
      <c r="D62" s="82" t="s">
        <v>15</v>
      </c>
      <c r="E62" s="84" t="e">
        <f>E60-E61</f>
        <v>#VALUE!</v>
      </c>
      <c r="F62" s="6" t="s">
        <v>149</v>
      </c>
      <c r="G62" s="142" t="e">
        <f>IF(E62&lt;=0.2,"OK","!")</f>
        <v>#VALUE!</v>
      </c>
    </row>
    <row r="63" spans="1:8" x14ac:dyDescent="0.2">
      <c r="D63" s="82" t="s">
        <v>9</v>
      </c>
      <c r="E63" s="84" t="e">
        <f>C19/C14</f>
        <v>#DIV/0!</v>
      </c>
      <c r="F63" s="6" t="s">
        <v>150</v>
      </c>
      <c r="G63" s="142" t="e">
        <f>IF(E63&lt;=0.25,"OK","!")</f>
        <v>#DIV/0!</v>
      </c>
    </row>
    <row r="64" spans="1:8" x14ac:dyDescent="0.2">
      <c r="D64" s="82" t="s">
        <v>10</v>
      </c>
      <c r="E64" s="84" t="e">
        <f>C17/C14</f>
        <v>#DIV/0!</v>
      </c>
      <c r="F64" s="6" t="s">
        <v>279</v>
      </c>
      <c r="G64" s="142" t="e">
        <f>IF(E64&lt;=0.35,"OK","!")</f>
        <v>#DIV/0!</v>
      </c>
    </row>
    <row r="65" spans="4:5" x14ac:dyDescent="0.2">
      <c r="D65" s="142"/>
      <c r="E65" s="142"/>
    </row>
    <row r="66" spans="4:5" x14ac:dyDescent="0.2">
      <c r="D66" s="82" t="s">
        <v>278</v>
      </c>
      <c r="E66" s="85" t="e">
        <f>E60+E61+E64</f>
        <v>#VALUE!</v>
      </c>
    </row>
  </sheetData>
  <sheetProtection algorithmName="SHA-512" hashValue="tbRgm/ew43JZ9KAV98hN8/PyQo+wp3TMpnswY/ni6z/njiWTNT+0YKj31b+7DzwhNhLweUIoEcPc9g8hnjdl1Q==" saltValue="/xzvz7RXq/QmYlbrKgZ2Cg==" spinCount="100000" sheet="1" selectLockedCells="1"/>
  <mergeCells count="8">
    <mergeCell ref="K4:M4"/>
    <mergeCell ref="H18:I32"/>
    <mergeCell ref="C9:I9"/>
    <mergeCell ref="B1:G1"/>
    <mergeCell ref="B2:E2"/>
    <mergeCell ref="I15:I17"/>
    <mergeCell ref="H16:H17"/>
    <mergeCell ref="E5:F5"/>
  </mergeCells>
  <conditionalFormatting sqref="G59">
    <cfRule type="cellIs" dxfId="6" priority="6" operator="equal">
      <formula>"!"</formula>
    </cfRule>
    <cfRule type="cellIs" dxfId="5" priority="7" operator="equal">
      <formula>"OK"</formula>
    </cfRule>
  </conditionalFormatting>
  <conditionalFormatting sqref="G62:G64">
    <cfRule type="cellIs" dxfId="4" priority="4" operator="equal">
      <formula>"!"</formula>
    </cfRule>
    <cfRule type="cellIs" dxfId="3" priority="5" operator="equal">
      <formula>"OK"</formula>
    </cfRule>
  </conditionalFormatting>
  <conditionalFormatting sqref="G57">
    <cfRule type="cellIs" dxfId="2" priority="1" operator="equal">
      <formula>"ED"</formula>
    </cfRule>
    <cfRule type="cellIs" dxfId="1" priority="2" operator="equal">
      <formula>"!"</formula>
    </cfRule>
    <cfRule type="cellIs" dxfId="0" priority="3" operator="equal">
      <formula>"OK"</formula>
    </cfRule>
  </conditionalFormatting>
  <pageMargins left="0.7" right="0.7" top="0.75" bottom="0.75" header="0.3" footer="0.3"/>
  <pageSetup scale="82" orientation="portrait" r:id="rId1"/>
  <headerFooter>
    <oddFooter>&amp;LStep 5-7: Stage-Storage Data&amp;C&amp;9Iowa Stormwater Wetland Design Workbook - v1.02
Issued by IDALS - 2018&amp;RPage 6</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I35"/>
  <sheetViews>
    <sheetView view="pageBreakPreview" zoomScaleNormal="100" zoomScaleSheetLayoutView="100" workbookViewId="0">
      <selection activeCell="N31" sqref="N31"/>
    </sheetView>
  </sheetViews>
  <sheetFormatPr defaultColWidth="8.85546875" defaultRowHeight="12.75" x14ac:dyDescent="0.2"/>
  <cols>
    <col min="1" max="1" width="12.7109375" style="102" customWidth="1"/>
    <col min="2" max="2" width="10.42578125" style="102" customWidth="1"/>
    <col min="3" max="3" width="9" style="102" customWidth="1"/>
    <col min="4" max="4" width="21.7109375" style="102" customWidth="1"/>
    <col min="5" max="6" width="18" style="102" customWidth="1"/>
    <col min="7" max="7" width="9" style="102" customWidth="1"/>
    <col min="8" max="8" width="10.28515625" style="102" customWidth="1"/>
    <col min="9" max="16384" width="8.85546875" style="102"/>
  </cols>
  <sheetData>
    <row r="1" spans="1:9" x14ac:dyDescent="0.2">
      <c r="A1" s="262" t="s">
        <v>260</v>
      </c>
      <c r="B1" s="262"/>
      <c r="C1" s="262"/>
      <c r="D1" s="262"/>
      <c r="E1" s="262"/>
      <c r="F1" s="262"/>
      <c r="G1" s="262"/>
      <c r="H1" s="47"/>
      <c r="I1" s="47"/>
    </row>
    <row r="2" spans="1:9" x14ac:dyDescent="0.2">
      <c r="A2" s="102" t="s">
        <v>187</v>
      </c>
      <c r="B2" s="285" t="str">
        <f>'CL_1 - Screening'!C3</f>
        <v>Project Name</v>
      </c>
      <c r="C2" s="285"/>
      <c r="D2" s="285"/>
      <c r="E2" s="285"/>
      <c r="F2" s="103">
        <f ca="1">'CL_1 - Screening'!G5</f>
        <v>43220</v>
      </c>
      <c r="G2" s="102" t="s">
        <v>194</v>
      </c>
    </row>
    <row r="3" spans="1:9" x14ac:dyDescent="0.2">
      <c r="A3" s="104" t="s">
        <v>193</v>
      </c>
      <c r="B3" s="104"/>
      <c r="C3" s="104"/>
      <c r="D3" s="104"/>
      <c r="E3" s="104"/>
      <c r="F3" s="104"/>
      <c r="G3" s="105"/>
    </row>
    <row r="5" spans="1:9" x14ac:dyDescent="0.2">
      <c r="A5" s="102" t="s">
        <v>105</v>
      </c>
    </row>
    <row r="7" spans="1:9" x14ac:dyDescent="0.2">
      <c r="A7" s="102" t="s">
        <v>83</v>
      </c>
      <c r="C7" s="106">
        <f>'DE_1 - Watershed Info'!C44</f>
        <v>1</v>
      </c>
      <c r="D7" s="102" t="s">
        <v>40</v>
      </c>
      <c r="E7" s="303" t="s">
        <v>295</v>
      </c>
      <c r="F7" s="303"/>
      <c r="G7" s="303"/>
    </row>
    <row r="9" spans="1:9" x14ac:dyDescent="0.2">
      <c r="A9" s="107" t="s">
        <v>172</v>
      </c>
      <c r="B9" s="107"/>
      <c r="C9" s="107"/>
      <c r="D9" s="107"/>
      <c r="E9" s="107"/>
      <c r="F9" s="107"/>
      <c r="G9" s="107"/>
    </row>
    <row r="10" spans="1:9" x14ac:dyDescent="0.2">
      <c r="B10" s="108"/>
      <c r="C10" s="108"/>
      <c r="D10" s="108"/>
      <c r="E10" s="108"/>
      <c r="F10" s="108"/>
      <c r="G10" s="108"/>
      <c r="H10" s="108"/>
    </row>
    <row r="11" spans="1:9" ht="30.6" customHeight="1" x14ac:dyDescent="0.2">
      <c r="A11" s="106" t="s">
        <v>92</v>
      </c>
      <c r="B11" s="109" t="s">
        <v>157</v>
      </c>
      <c r="C11" s="110" t="s">
        <v>158</v>
      </c>
      <c r="D11" s="111" t="s">
        <v>159</v>
      </c>
      <c r="E11" s="112" t="s">
        <v>160</v>
      </c>
      <c r="F11" s="113" t="s">
        <v>160</v>
      </c>
      <c r="G11" s="114"/>
      <c r="H11" s="115"/>
    </row>
    <row r="12" spans="1:9" x14ac:dyDescent="0.2">
      <c r="A12" s="116"/>
      <c r="B12" s="117" t="s">
        <v>161</v>
      </c>
      <c r="C12" s="118" t="s">
        <v>161</v>
      </c>
      <c r="D12" s="119" t="s">
        <v>162</v>
      </c>
      <c r="E12" s="120" t="s">
        <v>163</v>
      </c>
      <c r="F12" s="119" t="s">
        <v>164</v>
      </c>
      <c r="G12" s="114"/>
      <c r="H12" s="115"/>
    </row>
    <row r="13" spans="1:9" x14ac:dyDescent="0.2">
      <c r="A13" s="106" t="s">
        <v>165</v>
      </c>
      <c r="B13" s="110">
        <f>'Step 3 - Hydrology'!B36</f>
        <v>0</v>
      </c>
      <c r="C13" s="97"/>
      <c r="D13" s="98"/>
      <c r="E13" s="99"/>
      <c r="F13" s="121">
        <f>12*E13/(C$7*43560)</f>
        <v>0</v>
      </c>
      <c r="G13" s="114"/>
      <c r="H13" s="115"/>
    </row>
    <row r="14" spans="1:9" x14ac:dyDescent="0.2">
      <c r="A14" s="106" t="s">
        <v>166</v>
      </c>
      <c r="B14" s="110">
        <f>'Step 3 - Hydrology'!B37</f>
        <v>0</v>
      </c>
      <c r="C14" s="97"/>
      <c r="D14" s="98"/>
      <c r="E14" s="99"/>
      <c r="F14" s="121">
        <f t="shared" ref="F14:F19" si="0">12*E14/(C$7*43560)</f>
        <v>0</v>
      </c>
      <c r="G14" s="114"/>
      <c r="H14" s="115"/>
    </row>
    <row r="15" spans="1:9" x14ac:dyDescent="0.2">
      <c r="A15" s="106" t="s">
        <v>167</v>
      </c>
      <c r="B15" s="110">
        <f>'Step 3 - Hydrology'!B38</f>
        <v>0</v>
      </c>
      <c r="C15" s="97"/>
      <c r="D15" s="98"/>
      <c r="E15" s="99"/>
      <c r="F15" s="121">
        <f t="shared" si="0"/>
        <v>0</v>
      </c>
      <c r="G15" s="114"/>
      <c r="H15" s="115"/>
    </row>
    <row r="16" spans="1:9" x14ac:dyDescent="0.2">
      <c r="A16" s="106" t="s">
        <v>168</v>
      </c>
      <c r="B16" s="110">
        <f>'Step 3 - Hydrology'!B39</f>
        <v>0</v>
      </c>
      <c r="C16" s="97"/>
      <c r="D16" s="98"/>
      <c r="E16" s="99"/>
      <c r="F16" s="121">
        <f t="shared" si="0"/>
        <v>0</v>
      </c>
      <c r="G16" s="114"/>
      <c r="H16" s="115"/>
    </row>
    <row r="17" spans="1:8" x14ac:dyDescent="0.2">
      <c r="A17" s="106" t="s">
        <v>169</v>
      </c>
      <c r="B17" s="110">
        <f>'Step 3 - Hydrology'!B40</f>
        <v>0</v>
      </c>
      <c r="C17" s="97"/>
      <c r="D17" s="98"/>
      <c r="E17" s="99"/>
      <c r="F17" s="121">
        <f t="shared" si="0"/>
        <v>0</v>
      </c>
      <c r="G17" s="114"/>
      <c r="H17" s="115"/>
    </row>
    <row r="18" spans="1:8" x14ac:dyDescent="0.2">
      <c r="A18" s="106" t="s">
        <v>170</v>
      </c>
      <c r="B18" s="110">
        <f>'Step 3 - Hydrology'!B41</f>
        <v>0</v>
      </c>
      <c r="C18" s="100"/>
      <c r="D18" s="98"/>
      <c r="E18" s="99"/>
      <c r="F18" s="121">
        <f t="shared" si="0"/>
        <v>0</v>
      </c>
    </row>
    <row r="19" spans="1:8" x14ac:dyDescent="0.2">
      <c r="A19" s="106" t="s">
        <v>171</v>
      </c>
      <c r="B19" s="110">
        <f>'Step 3 - Hydrology'!B42</f>
        <v>0</v>
      </c>
      <c r="C19" s="100"/>
      <c r="D19" s="98"/>
      <c r="E19" s="99"/>
      <c r="F19" s="121">
        <f t="shared" si="0"/>
        <v>0</v>
      </c>
    </row>
    <row r="20" spans="1:8" x14ac:dyDescent="0.2">
      <c r="D20" s="122"/>
      <c r="E20" s="123"/>
    </row>
    <row r="21" spans="1:8" x14ac:dyDescent="0.2">
      <c r="A21" s="107" t="s">
        <v>261</v>
      </c>
      <c r="B21" s="107"/>
      <c r="C21" s="107"/>
      <c r="D21" s="107"/>
      <c r="E21" s="107"/>
      <c r="F21" s="107"/>
      <c r="G21" s="107"/>
    </row>
    <row r="22" spans="1:8" ht="51" x14ac:dyDescent="0.2">
      <c r="A22" s="106" t="s">
        <v>173</v>
      </c>
      <c r="B22" s="124" t="s">
        <v>174</v>
      </c>
      <c r="C22" s="124" t="s">
        <v>182</v>
      </c>
      <c r="D22" s="124" t="s">
        <v>183</v>
      </c>
      <c r="E22" s="124" t="s">
        <v>175</v>
      </c>
      <c r="F22" s="124" t="s">
        <v>296</v>
      </c>
      <c r="G22" s="124" t="s">
        <v>184</v>
      </c>
    </row>
    <row r="23" spans="1:8" x14ac:dyDescent="0.2">
      <c r="A23" s="106"/>
      <c r="B23" s="124"/>
      <c r="C23" s="125"/>
      <c r="D23" s="124" t="s">
        <v>176</v>
      </c>
      <c r="E23" s="124"/>
      <c r="F23" s="124"/>
    </row>
    <row r="24" spans="1:8" x14ac:dyDescent="0.2">
      <c r="A24" s="106"/>
      <c r="B24" s="106"/>
      <c r="C24" s="106" t="s">
        <v>177</v>
      </c>
      <c r="D24" s="106" t="s">
        <v>177</v>
      </c>
      <c r="E24" s="106"/>
      <c r="F24" s="106"/>
    </row>
    <row r="25" spans="1:8" x14ac:dyDescent="0.2">
      <c r="A25" s="116" t="s">
        <v>178</v>
      </c>
      <c r="B25" s="116" t="s">
        <v>41</v>
      </c>
      <c r="C25" s="116" t="s">
        <v>179</v>
      </c>
      <c r="D25" s="116" t="s">
        <v>180</v>
      </c>
      <c r="E25" s="116" t="s">
        <v>163</v>
      </c>
      <c r="F25" s="116" t="s">
        <v>163</v>
      </c>
      <c r="G25" s="105"/>
    </row>
    <row r="26" spans="1:8" x14ac:dyDescent="0.2">
      <c r="A26" s="106" t="s">
        <v>181</v>
      </c>
      <c r="B26" s="126" t="e">
        <f>F13/'Step 3 - Hydrology'!B19</f>
        <v>#DIV/0!</v>
      </c>
      <c r="C26" s="101"/>
      <c r="D26" s="127" t="e">
        <f>1-C13/'Step 3 - Hydrology'!G19</f>
        <v>#DIV/0!</v>
      </c>
      <c r="E26" s="128" t="e">
        <f>'Step 3 - Hydrology'!G36</f>
        <v>#DIV/0!</v>
      </c>
      <c r="F26" s="128">
        <f>E13</f>
        <v>0</v>
      </c>
      <c r="G26" s="129" t="e">
        <f>F26/E26</f>
        <v>#DIV/0!</v>
      </c>
    </row>
    <row r="27" spans="1:8" x14ac:dyDescent="0.2">
      <c r="A27" s="106" t="s">
        <v>166</v>
      </c>
      <c r="B27" s="126" t="e">
        <f>F14/'Step 3 - Hydrology'!B20</f>
        <v>#DIV/0!</v>
      </c>
      <c r="C27" s="101"/>
      <c r="D27" s="127" t="e">
        <f>1-C14/'Step 3 - Hydrology'!G20</f>
        <v>#DIV/0!</v>
      </c>
      <c r="E27" s="128" t="e">
        <f>'Step 3 - Hydrology'!G37</f>
        <v>#DIV/0!</v>
      </c>
      <c r="F27" s="128">
        <f>E14</f>
        <v>0</v>
      </c>
      <c r="G27" s="129" t="e">
        <f t="shared" ref="G27:G32" si="1">F27/E27</f>
        <v>#DIV/0!</v>
      </c>
    </row>
    <row r="28" spans="1:8" x14ac:dyDescent="0.2">
      <c r="A28" s="106" t="s">
        <v>167</v>
      </c>
      <c r="B28" s="126" t="e">
        <f>F15/'Step 3 - Hydrology'!B21</f>
        <v>#DIV/0!</v>
      </c>
      <c r="C28" s="101"/>
      <c r="D28" s="127" t="e">
        <f>1-C15/'Step 3 - Hydrology'!G21</f>
        <v>#DIV/0!</v>
      </c>
      <c r="E28" s="128" t="e">
        <f>'Step 3 - Hydrology'!G38</f>
        <v>#DIV/0!</v>
      </c>
      <c r="F28" s="128">
        <f>E15</f>
        <v>0</v>
      </c>
      <c r="G28" s="129" t="e">
        <f t="shared" si="1"/>
        <v>#DIV/0!</v>
      </c>
    </row>
    <row r="29" spans="1:8" x14ac:dyDescent="0.2">
      <c r="A29" s="106" t="s">
        <v>168</v>
      </c>
      <c r="B29" s="126" t="e">
        <f>F16/'Step 3 - Hydrology'!B22</f>
        <v>#DIV/0!</v>
      </c>
      <c r="C29" s="101"/>
      <c r="D29" s="127" t="e">
        <f>1-C16/'Step 3 - Hydrology'!G22</f>
        <v>#DIV/0!</v>
      </c>
      <c r="E29" s="128" t="e">
        <f>'Step 3 - Hydrology'!G39</f>
        <v>#DIV/0!</v>
      </c>
      <c r="F29" s="128">
        <f>E16</f>
        <v>0</v>
      </c>
      <c r="G29" s="129" t="e">
        <f t="shared" si="1"/>
        <v>#DIV/0!</v>
      </c>
    </row>
    <row r="30" spans="1:8" x14ac:dyDescent="0.2">
      <c r="A30" s="106" t="s">
        <v>169</v>
      </c>
      <c r="B30" s="126" t="e">
        <f>F17/'Step 3 - Hydrology'!B23</f>
        <v>#DIV/0!</v>
      </c>
      <c r="C30" s="101"/>
      <c r="D30" s="127" t="e">
        <f>1-C17/'Step 3 - Hydrology'!G23</f>
        <v>#DIV/0!</v>
      </c>
      <c r="E30" s="128" t="e">
        <f>'Step 3 - Hydrology'!G40</f>
        <v>#DIV/0!</v>
      </c>
      <c r="F30" s="128">
        <f t="shared" ref="F30:F32" si="2">E17</f>
        <v>0</v>
      </c>
      <c r="G30" s="129" t="e">
        <f t="shared" si="1"/>
        <v>#DIV/0!</v>
      </c>
    </row>
    <row r="31" spans="1:8" x14ac:dyDescent="0.2">
      <c r="A31" s="106" t="s">
        <v>170</v>
      </c>
      <c r="B31" s="126" t="e">
        <f>F18/'Step 3 - Hydrology'!B24</f>
        <v>#DIV/0!</v>
      </c>
      <c r="C31" s="101"/>
      <c r="D31" s="127" t="e">
        <f>1-C18/'Step 3 - Hydrology'!G24</f>
        <v>#DIV/0!</v>
      </c>
      <c r="E31" s="128" t="e">
        <f>'Step 3 - Hydrology'!G41</f>
        <v>#DIV/0!</v>
      </c>
      <c r="F31" s="128">
        <f t="shared" si="2"/>
        <v>0</v>
      </c>
      <c r="G31" s="129" t="e">
        <f t="shared" si="1"/>
        <v>#DIV/0!</v>
      </c>
    </row>
    <row r="32" spans="1:8" x14ac:dyDescent="0.2">
      <c r="A32" s="106" t="s">
        <v>171</v>
      </c>
      <c r="B32" s="126" t="e">
        <f>F19/'Step 3 - Hydrology'!B25</f>
        <v>#DIV/0!</v>
      </c>
      <c r="C32" s="101"/>
      <c r="D32" s="127" t="e">
        <f>1-C19/'Step 3 - Hydrology'!G25</f>
        <v>#DIV/0!</v>
      </c>
      <c r="E32" s="128" t="e">
        <f>'Step 3 - Hydrology'!G42</f>
        <v>#DIV/0!</v>
      </c>
      <c r="F32" s="128">
        <f t="shared" si="2"/>
        <v>0</v>
      </c>
      <c r="G32" s="129" t="e">
        <f t="shared" si="1"/>
        <v>#DIV/0!</v>
      </c>
    </row>
    <row r="33" spans="1:8" x14ac:dyDescent="0.2">
      <c r="A33" s="72" t="s">
        <v>185</v>
      </c>
      <c r="B33" s="130"/>
      <c r="C33" s="123"/>
      <c r="D33" s="129"/>
      <c r="E33" s="131"/>
      <c r="F33" s="132"/>
      <c r="G33" s="128"/>
      <c r="H33" s="128"/>
    </row>
    <row r="34" spans="1:8" x14ac:dyDescent="0.2">
      <c r="A34" s="106"/>
      <c r="B34" s="130"/>
      <c r="C34" s="123"/>
      <c r="D34" s="129"/>
      <c r="E34" s="131"/>
      <c r="F34" s="132"/>
      <c r="G34" s="128"/>
      <c r="H34" s="128"/>
    </row>
    <row r="35" spans="1:8" x14ac:dyDescent="0.2">
      <c r="B35" s="133"/>
    </row>
  </sheetData>
  <sheetProtection algorithmName="SHA-512" hashValue="FncvDwX26rHXuQIUFpqmPW6aSja+p3eSsWGiridxeU8em8W8kHnG1mgDVgXbt6xStTQ/10FQ61d3gSccoyJwQg==" saltValue="N4/AvVA0cHWkoRR3yjuSlQ==" spinCount="100000" sheet="1" selectLockedCells="1"/>
  <mergeCells count="3">
    <mergeCell ref="B2:E2"/>
    <mergeCell ref="E7:G7"/>
    <mergeCell ref="A1:G1"/>
  </mergeCells>
  <pageMargins left="0.7" right="0.7" top="0.75" bottom="0.75" header="0.3" footer="0.3"/>
  <pageSetup scale="91" orientation="portrait" r:id="rId1"/>
  <headerFooter>
    <oddFooter>&amp;LStep 9 - Routing Results&amp;C&amp;9Iowa Stormwater Wetland Design Workbook - v1.02
Issued by IDALS - 2018&amp;RPage 7</oddFooter>
  </headerFooter>
  <colBreaks count="1" manualBreakCount="1">
    <brk id="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DISCLAIMER</vt:lpstr>
      <vt:lpstr>CL_1 - Screening</vt:lpstr>
      <vt:lpstr>CL_2 - Design Summary</vt:lpstr>
      <vt:lpstr>DE_1 - Watershed Info</vt:lpstr>
      <vt:lpstr>Step 3 - Hydrology</vt:lpstr>
      <vt:lpstr>Step 4 - Pre-treat</vt:lpstr>
      <vt:lpstr>Step 5-7 Final Storage Volumes</vt:lpstr>
      <vt:lpstr>Step 9 - Results</vt:lpstr>
      <vt:lpstr>'CL_1 - Screening'!Print_Area</vt:lpstr>
      <vt:lpstr>'CL_2 - Design Summary'!Print_Area</vt:lpstr>
      <vt:lpstr>'DE_1 - Watershed Info'!Print_Area</vt:lpstr>
      <vt:lpstr>DISCLAIMER!Print_Area</vt:lpstr>
      <vt:lpstr>'Step 3 - Hydrology'!Print_Area</vt:lpstr>
      <vt:lpstr>'Step 4 - Pre-treat'!Print_Area</vt:lpstr>
      <vt:lpstr>'Step 5-7 Final Storage Volumes'!Print_Area</vt:lpstr>
      <vt:lpstr>'Step 9 - 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RDG</cp:lastModifiedBy>
  <cp:lastPrinted>2018-04-30T20:49:06Z</cp:lastPrinted>
  <dcterms:created xsi:type="dcterms:W3CDTF">2017-07-05T15:47:13Z</dcterms:created>
  <dcterms:modified xsi:type="dcterms:W3CDTF">2018-04-30T20:49:57Z</dcterms:modified>
</cp:coreProperties>
</file>